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mysite.wellpoint.com/personal/af75756_ad_wellpoint_com/Documents/Desktop/Temporary/Super Temporary/"/>
    </mc:Choice>
  </mc:AlternateContent>
  <xr:revisionPtr revIDLastSave="0" documentId="8_{8049E32E-1CBE-4518-AEFE-94796B38E758}" xr6:coauthVersionLast="47" xr6:coauthVersionMax="47" xr10:uidLastSave="{00000000-0000-0000-0000-000000000000}"/>
  <bookViews>
    <workbookView xWindow="-12" yWindow="240" windowWidth="21600" windowHeight="11328" firstSheet="2" activeTab="5"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eport 6. QI Support" sheetId="12" r:id="rId7"/>
    <sheet name="RAE Scratch Sheet" sheetId="5" r:id="rId8"/>
    <sheet name="MCO Tax Calculation" sheetId="13" r:id="rId9"/>
  </sheets>
  <definedNames>
    <definedName name="_xlnm.Print_Area" localSheetId="0">Overview!$B$2:$G$51</definedName>
    <definedName name="_xlnm.Print_Area" localSheetId="7">'RAE Scratch Sheet'!$B$2:$N$41</definedName>
    <definedName name="_xlnm.Print_Area" localSheetId="1">'Report 1. MLR Data'!$B$2:$K$41</definedName>
    <definedName name="_xlnm.Print_Area" localSheetId="2">'Report 2. SUD RC Data'!$B$2:$P$94</definedName>
    <definedName name="_xlnm.Print_Area" localSheetId="3">'Report 3. SUD Risk Corridor'!$B$2:$J$64</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3" l="1"/>
  <c r="G7" i="13"/>
  <c r="F7" i="13"/>
  <c r="E7" i="13"/>
  <c r="D7" i="13"/>
  <c r="C7" i="13"/>
  <c r="B7" i="13"/>
  <c r="I7" i="13" s="1"/>
  <c r="J7" i="13" s="1"/>
  <c r="H5" i="13"/>
  <c r="H11" i="13" s="1"/>
  <c r="H17" i="13" s="1"/>
  <c r="G5" i="13"/>
  <c r="F5" i="13"/>
  <c r="E5" i="13"/>
  <c r="D5" i="13"/>
  <c r="C5" i="13"/>
  <c r="B5" i="13"/>
  <c r="B11" i="13" s="1"/>
  <c r="H1" i="13"/>
  <c r="G1" i="13"/>
  <c r="F1" i="13"/>
  <c r="E1" i="13"/>
  <c r="D1" i="13"/>
  <c r="C1" i="13"/>
  <c r="B1" i="13"/>
  <c r="I1" i="13" s="1"/>
  <c r="J1" i="13" s="1"/>
  <c r="C11" i="13"/>
  <c r="C17" i="13" s="1"/>
  <c r="I9" i="13"/>
  <c r="G11" i="13"/>
  <c r="F11" i="13"/>
  <c r="E11" i="13"/>
  <c r="D11" i="13"/>
  <c r="I5" i="13" l="1"/>
  <c r="J5" i="13" s="1"/>
  <c r="B16" i="13"/>
  <c r="B17" i="13"/>
  <c r="I11" i="13"/>
  <c r="D17" i="13"/>
  <c r="D16" i="13"/>
  <c r="D18" i="13" s="1"/>
  <c r="E17" i="13"/>
  <c r="E16" i="13"/>
  <c r="E18" i="13" s="1"/>
  <c r="F17" i="13"/>
  <c r="F16" i="13"/>
  <c r="F18" i="13" s="1"/>
  <c r="G17" i="13"/>
  <c r="G16" i="13"/>
  <c r="G18" i="13" s="1"/>
  <c r="C16" i="13"/>
  <c r="C18" i="13" s="1"/>
  <c r="H16" i="13"/>
  <c r="H18" i="13" s="1"/>
  <c r="I17" i="13" l="1"/>
  <c r="I16" i="13"/>
  <c r="I18" i="13" s="1"/>
  <c r="J11" i="13"/>
  <c r="B18" i="13"/>
  <c r="G94" i="8" l="1"/>
  <c r="E94" i="8"/>
  <c r="H94" i="8" l="1"/>
  <c r="F94" i="8"/>
  <c r="D94" i="8"/>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K24" i="1"/>
  <c r="K23" i="1"/>
  <c r="C3" i="4" l="1"/>
  <c r="C3" i="6"/>
  <c r="C3" i="11"/>
  <c r="C3" i="8"/>
  <c r="C3" i="1"/>
  <c r="C5" i="11"/>
  <c r="C5" i="8"/>
  <c r="H25" i="11" l="1"/>
  <c r="G25" i="11"/>
  <c r="F25" i="11"/>
  <c r="E25" i="11"/>
  <c r="D25" i="11"/>
  <c r="H23" i="11"/>
  <c r="G23" i="11"/>
  <c r="F23" i="11"/>
  <c r="E23" i="11"/>
  <c r="B15" i="11"/>
  <c r="B22" i="11" s="1"/>
  <c r="C2" i="11"/>
  <c r="J90" i="8"/>
  <c r="J83" i="8"/>
  <c r="J76" i="8"/>
  <c r="J69" i="8"/>
  <c r="J62" i="8"/>
  <c r="P94" i="8"/>
  <c r="O94" i="8"/>
  <c r="N94" i="8"/>
  <c r="M94" i="8"/>
  <c r="L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J13" i="1"/>
  <c r="I13" i="1"/>
  <c r="H13" i="1"/>
  <c r="G13" i="1"/>
  <c r="F13" i="1"/>
  <c r="E13" i="1"/>
  <c r="D13" i="1"/>
  <c r="E24" i="11" l="1"/>
  <c r="I16" i="11"/>
  <c r="I17" i="11"/>
  <c r="G19" i="11"/>
  <c r="D24" i="11"/>
  <c r="E19" i="11"/>
  <c r="I18" i="11"/>
  <c r="G24" i="11"/>
  <c r="H12" i="11"/>
  <c r="D19" i="11"/>
  <c r="D23" i="11"/>
  <c r="I9" i="11"/>
  <c r="I23" i="11" s="1"/>
  <c r="I11" i="11"/>
  <c r="I25" i="11" s="1"/>
  <c r="H19" i="11"/>
  <c r="I10" i="11"/>
  <c r="H24" i="11"/>
  <c r="G12" i="11"/>
  <c r="F19" i="11"/>
  <c r="F12" i="11"/>
  <c r="F24" i="11"/>
  <c r="D12" i="11"/>
  <c r="E12" i="11"/>
  <c r="K12" i="1"/>
  <c r="K11" i="1"/>
  <c r="K10" i="1"/>
  <c r="K9" i="1"/>
  <c r="K32" i="1"/>
  <c r="B43" i="11" s="1"/>
  <c r="D50" i="11" s="1"/>
  <c r="K27" i="1"/>
  <c r="K26" i="1"/>
  <c r="K25" i="1"/>
  <c r="K21" i="1"/>
  <c r="K20" i="1"/>
  <c r="K19" i="1"/>
  <c r="K17" i="1"/>
  <c r="C5" i="6"/>
  <c r="C2" i="6"/>
  <c r="C5" i="1"/>
  <c r="E26" i="11" l="1"/>
  <c r="F26" i="11"/>
  <c r="G26" i="11"/>
  <c r="H26" i="11"/>
  <c r="I24" i="11"/>
  <c r="I19" i="11"/>
  <c r="D26" i="11"/>
  <c r="I12" i="11"/>
  <c r="K13" i="1"/>
  <c r="D10" i="6" s="1"/>
  <c r="B9" i="4"/>
  <c r="C5" i="4"/>
  <c r="C2" i="4"/>
  <c r="C37" i="11" l="1"/>
  <c r="I26" i="11"/>
  <c r="D37" i="11" s="1"/>
  <c r="C2" i="1"/>
  <c r="E37" i="11" l="1"/>
  <c r="D51" i="11" s="1"/>
  <c r="D54" i="11" s="1"/>
  <c r="D56" i="11" s="1"/>
  <c r="D52" i="11" l="1"/>
  <c r="D53" i="11" s="1"/>
  <c r="D55" i="11"/>
  <c r="D58" i="11" s="1"/>
  <c r="D11" i="6" s="1"/>
  <c r="D12" i="6" s="1"/>
  <c r="J28" i="1" l="1"/>
  <c r="I28" i="1"/>
  <c r="H28" i="1"/>
  <c r="G28" i="1"/>
  <c r="F28" i="1"/>
  <c r="E28" i="1"/>
  <c r="D28" i="1" l="1"/>
  <c r="K18" i="1"/>
  <c r="K28" i="1" s="1"/>
  <c r="D13" i="6" s="1"/>
  <c r="D14" i="6" s="1"/>
  <c r="D16" i="6" s="1"/>
  <c r="D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Pierce, Julie L. (VA)</author>
  </authors>
  <commentList>
    <comment ref="I9" authorId="0" shapeId="0" xr:uid="{6004BCF6-6C19-43DC-A2FC-E381AD3A10B4}">
      <text>
        <r>
          <rPr>
            <b/>
            <sz val="9"/>
            <color indexed="81"/>
            <rFont val="Tahoma"/>
            <family val="2"/>
          </rPr>
          <t>Pierce, Julie L. (VA):</t>
        </r>
        <r>
          <rPr>
            <sz val="9"/>
            <color indexed="81"/>
            <rFont val="Tahoma"/>
            <family val="2"/>
          </rPr>
          <t xml:space="preserve">
From Region 7 MRT submission.  Excludes HIPF.</t>
        </r>
      </text>
    </comment>
    <comment ref="A13" authorId="0" shapeId="0" xr:uid="{1D827C22-4099-4131-BA61-7DA08E29F097}">
      <text>
        <r>
          <rPr>
            <b/>
            <sz val="9"/>
            <color indexed="81"/>
            <rFont val="Tahoma"/>
            <family val="2"/>
          </rPr>
          <t>Pierce, Julie L. (VA):</t>
        </r>
        <r>
          <rPr>
            <sz val="9"/>
            <color indexed="81"/>
            <rFont val="Tahoma"/>
            <family val="2"/>
          </rPr>
          <t xml:space="preserve">
Current year tax rates, adjusted to remove the impact of risk corridor or MLR rebates.  As of 6/30/21</t>
        </r>
      </text>
    </comment>
    <comment ref="A14" authorId="0" shapeId="0" xr:uid="{FBC133CC-8920-4C63-A98F-311201D28820}">
      <text>
        <r>
          <rPr>
            <b/>
            <sz val="9"/>
            <color indexed="81"/>
            <rFont val="Tahoma"/>
            <family val="2"/>
          </rPr>
          <t>Pierce, Julie L. (VA):</t>
        </r>
        <r>
          <rPr>
            <sz val="9"/>
            <color indexed="81"/>
            <rFont val="Tahoma"/>
            <family val="2"/>
          </rPr>
          <t xml:space="preserve">
Current year tax rates, adjusted to remove the impact of risk corridor or MLR rebates</t>
        </r>
      </text>
    </comment>
  </commentList>
</comments>
</file>

<file path=xl/sharedStrings.xml><?xml version="1.0" encoding="utf-8"?>
<sst xmlns="http://schemas.openxmlformats.org/spreadsheetml/2006/main" count="564" uniqueCount="203">
  <si>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</si>
  <si>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</si>
  <si>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</si>
  <si>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</si>
  <si>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</si>
  <si>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</si>
  <si>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</si>
  <si>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</si>
  <si>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</si>
  <si>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</si>
  <si>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</si>
  <si>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</si>
  <si>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</si>
  <si>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</si>
  <si>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</si>
  <si>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</si>
  <si>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</si>
  <si>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</si>
  <si>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</si>
  <si>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</si>
  <si>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</si>
  <si>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</si>
  <si>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</si>
  <si>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</si>
  <si>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</si>
  <si>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</si>
  <si>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</si>
  <si>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</si>
  <si>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</si>
  <si>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</si>
  <si>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</si>
  <si>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</si>
  <si>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</si>
  <si>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</si>
  <si>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</si>
  <si>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</si>
  <si>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</si>
  <si>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</si>
  <si>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</si>
  <si>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</si>
  <si>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</si>
  <si>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</si>
  <si>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</si>
  <si>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</si>
  <si>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</si>
  <si>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</si>
  <si>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</si>
  <si>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</si>
  <si>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</si>
  <si>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</si>
  <si>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</si>
  <si>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</si>
  <si>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</si>
  <si>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</si>
  <si>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</si>
  <si>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Non Expansion Parents</t>
  </si>
  <si>
    <t>Children</t>
  </si>
  <si>
    <t>Expansion Parents</t>
  </si>
  <si>
    <t>Foster Care</t>
  </si>
  <si>
    <t>Elderly</t>
  </si>
  <si>
    <t>Disabled</t>
  </si>
  <si>
    <t>Category of Aid</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</si>
  <si>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</si>
  <si>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</si>
  <si>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</si>
  <si>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</si>
  <si>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</si>
  <si>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</si>
  <si>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</si>
  <si>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</si>
  <si>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</si>
  <si>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</si>
  <si>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</si>
  <si>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</si>
  <si>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</si>
  <si>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MLR Data</t>
  </si>
  <si>
    <t>Days by ASAM Level/SUD Service</t>
  </si>
  <si>
    <t>3.1</t>
  </si>
  <si>
    <t>3.5</t>
  </si>
  <si>
    <t>3.7</t>
  </si>
  <si>
    <t>SUD Earned Revenue Calculation</t>
  </si>
  <si>
    <t>SUD PMPMs</t>
  </si>
  <si>
    <t>Special Connections</t>
  </si>
  <si>
    <t>SUD Risk Corridor</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</si>
  <si>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</si>
  <si>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</si>
  <si>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</si>
  <si>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</si>
  <si>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</si>
  <si>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</si>
  <si>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</si>
  <si>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</si>
  <si>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</si>
  <si>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</si>
  <si>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</si>
  <si>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</si>
  <si>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</si>
  <si>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</si>
  <si>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</si>
  <si>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</si>
  <si>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</si>
  <si>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</si>
  <si>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</si>
  <si>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</si>
  <si>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</si>
  <si>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</si>
  <si>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</si>
  <si>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</si>
  <si>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</si>
  <si>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</si>
  <si>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</si>
  <si>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</si>
  <si>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</si>
  <si>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</si>
  <si>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</si>
  <si>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Service Incurral Period for MLR Calculation:</t>
  </si>
  <si>
    <t>Service Incurral Period for SUD Risk Corridor:</t>
  </si>
  <si>
    <t>This report will be used to assess the MLR, including risk corridor for SUD carve-in services, for the Colorado Medicaid Behavioral Health program.</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</si>
  <si>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</si>
  <si>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</si>
  <si>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</si>
  <si>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</si>
  <si>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</si>
  <si>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</si>
  <si>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t>SUD IP/Med Detox</t>
  </si>
  <si>
    <t>Wght Avg</t>
  </si>
  <si>
    <t>Implied Loss Ratio 
(b / a)</t>
  </si>
  <si>
    <t>Risk Corridor Due To/(From) RAE</t>
  </si>
  <si>
    <t>Profit/(Loss) (a - b)</t>
  </si>
  <si>
    <t>Profit/(Loss) % (c / a)</t>
  </si>
  <si>
    <t>Risk Corridor Profit/(Loss) Share</t>
  </si>
  <si>
    <t>July 1, 2021 - June 30, 2022</t>
  </si>
  <si>
    <t>Special Connections Earned Revenue and Medical Expenses: Include these amounts in total for FY22.</t>
  </si>
  <si>
    <t>Total Administration for SUD Carve-In Services Only: Include administration expenses for FY22.</t>
  </si>
  <si>
    <t>Activities that Improve Health Care Quality: This line should reflect any administrative (salary or non-salary) expenses that are designed to directly improve patient care and supporting health information technology (HIT).</t>
  </si>
  <si>
    <t>Report 6 -- QI Support</t>
  </si>
  <si>
    <t>Please provide allocation methodology as well as supporting documentation around "Activities that Improve Healthcare Quality".</t>
  </si>
  <si>
    <t>k1</t>
  </si>
  <si>
    <t>Salary QI Amount</t>
  </si>
  <si>
    <t>k2</t>
  </si>
  <si>
    <t>Non-Salary QI Amount</t>
  </si>
  <si>
    <t>Total Medical Expenses (Net Qualified Medical Expenses)
(f + g + h + i + j + k1 + k2 + l + m + n)</t>
  </si>
  <si>
    <t>Fraud Prevention Activities</t>
  </si>
  <si>
    <t xml:space="preserve">Fraud Prevention Activities: Fraud prevention activities. MCO, PIHP, or PAHP expenditures on activities related to fraud prevention consistent with regulations adopted for the private market at 45 CFR part 158. </t>
  </si>
  <si>
    <t>Member Months for July 1, 2021 through June 30, 2022</t>
  </si>
  <si>
    <t>Please describe the QI allocation methodology associated in the box below:</t>
  </si>
  <si>
    <t>Please attach supporting documents for QI Activities and list out the names of the supporting documents in the box below:</t>
  </si>
  <si>
    <t>JAN'22</t>
  </si>
  <si>
    <t>FEB'22</t>
  </si>
  <si>
    <t>MAR'22</t>
  </si>
  <si>
    <t>APR'22</t>
  </si>
  <si>
    <t>MAY'22</t>
  </si>
  <si>
    <t>JUN'22</t>
  </si>
  <si>
    <t>JUL'21</t>
  </si>
  <si>
    <t>AUG'21</t>
  </si>
  <si>
    <t>SEP'21</t>
  </si>
  <si>
    <t>OCT'21</t>
  </si>
  <si>
    <t>NOV'21</t>
  </si>
  <si>
    <t>DEC'21</t>
  </si>
  <si>
    <t>Special Connections for July 1, 2021 through June 30, 2022:</t>
  </si>
  <si>
    <t xml:space="preserve">SFY22 SUD Risk Corridor </t>
  </si>
  <si>
    <t>If 45 CFR part 158 has not defined fraud prevention activities at the time of this submission, enter 0</t>
  </si>
  <si>
    <t>SFY22 Per Diems</t>
  </si>
  <si>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QI Support Sheet if additional room is needed for itemization.</t>
    </r>
  </si>
  <si>
    <t>Expenditures must not include expenses for fraud reduction efforts in CFR 438.8 (e)(2)(iii)(B).</t>
  </si>
  <si>
    <t>Final Unit Cost</t>
  </si>
  <si>
    <t>Earned Revenue*</t>
  </si>
  <si>
    <t>Total Medical Expenses*</t>
  </si>
  <si>
    <t>f1</t>
  </si>
  <si>
    <t>5%+ Band: 0% Risk</t>
  </si>
  <si>
    <t>f2</t>
  </si>
  <si>
    <t>1%-5% Band: 50% Risk</t>
  </si>
  <si>
    <t>f3</t>
  </si>
  <si>
    <t>0%-1% Band: 100% Risk</t>
  </si>
  <si>
    <t>*Administrative expenses are removed from the SUD risk corridor calculation.</t>
  </si>
  <si>
    <t>CCHA</t>
  </si>
  <si>
    <t>HCQI and SG&amp;A were allocated as a percent of premium by rate division.</t>
  </si>
  <si>
    <t>HCQI by Category</t>
  </si>
  <si>
    <t>Improve Health Outcomes</t>
  </si>
  <si>
    <t>Activities to Prevent Hospital Readmissions</t>
  </si>
  <si>
    <t>Improve Patient Safety and Reduce Medical Errors</t>
  </si>
  <si>
    <t>Wellness and Health Promotion Activities</t>
  </si>
  <si>
    <t>HIT Quality Improvement</t>
  </si>
  <si>
    <t>HCQI Policy, which describes in detail our process for capturing these costs:</t>
  </si>
  <si>
    <t>Restated OPGAIN</t>
  </si>
  <si>
    <t>Capitated revenue</t>
  </si>
  <si>
    <t>Taxes</t>
  </si>
  <si>
    <t>Medical expense, excludes QI</t>
  </si>
  <si>
    <t>SG&amp;A, includes QI,  excludes HIPF</t>
  </si>
  <si>
    <t>Federal tax rate</t>
  </si>
  <si>
    <t>State tax rate</t>
  </si>
  <si>
    <t>Federal taxes</t>
  </si>
  <si>
    <t>State taxes</t>
  </si>
  <si>
    <t>Total income tax deduction</t>
  </si>
  <si>
    <t>Valued taxes for linking in report</t>
  </si>
  <si>
    <t>HCQI (pdf), Allocated Admin Overview (pdf), QI details (xls)</t>
  </si>
  <si>
    <t>Allocated Admin Overview, which describes how costs are captured in cost centers and allocated to lines of business.</t>
  </si>
  <si>
    <t>QI Details, which provides cost center and account information.</t>
  </si>
  <si>
    <t>Total Region 6</t>
  </si>
  <si>
    <t>See Report 6. QI Support</t>
  </si>
  <si>
    <t>Patrick K. Fox, M.D.</t>
  </si>
  <si>
    <t>203-640-6444</t>
  </si>
  <si>
    <t>Elevance President, Medicaid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</si>
</sst>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3"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b/>
      <sz val="11"/>
      <color theme="1"/>
      <name val="Calibri"/>
      <family val="2"/>
      <scheme val="minor"/>
    </font>
    <font>
      <sz val="11"/>
      <color rgb="FF000000"/>
      <name val="Calibri"/>
      <family val="2"/>
    </font>
    <font>
      <sz val="10"/>
      <color rgb="FF000000"/>
      <name val="Calibri"/>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8">
    <xf numFmtId="0" fontId="0" fillId="0" borderId="0" xfId="0"/>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8" fillId="0" borderId="0" xfId="0" quotePrefix="1" applyFont="1" applyAlignment="1">
      <alignment horizontal="left"/>
    </xf>
    <xf numFmtId="0" fontId="5" fillId="0" borderId="0" xfId="0" applyFont="1"/>
    <xf numFmtId="0" fontId="9"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0" xfId="0" applyFont="1" applyAlignment="1">
      <alignment horizontal="left"/>
    </xf>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0" fillId="0" borderId="0" xfId="0" applyProtection="1">
      <protection locked="0"/>
    </xf>
    <xf numFmtId="0" fontId="5" fillId="2" borderId="11" xfId="0" applyFont="1" applyFill="1" applyBorder="1" applyProtection="1">
      <protection locked="0"/>
    </xf>
    <xf numFmtId="0" fontId="2" fillId="0" borderId="8" xfId="0" applyFont="1" applyBorder="1"/>
    <xf numFmtId="0" fontId="5" fillId="0" borderId="10" xfId="0" quotePrefix="1" applyFont="1" applyBorder="1" applyAlignment="1">
      <alignment horizontal="left"/>
    </xf>
    <xf numFmtId="0" fontId="5" fillId="0" borderId="21" xfId="0" applyFont="1" applyBorder="1" applyAlignment="1">
      <alignment horizontal="centerContinuous" wrapText="1"/>
    </xf>
    <xf numFmtId="0" fontId="5" fillId="0" borderId="22" xfId="0" applyFont="1" applyBorder="1" applyAlignment="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Border="1" applyAlignment="1">
      <alignment horizontal="left" vertical="center"/>
    </xf>
    <xf numFmtId="0" fontId="3" fillId="0" borderId="4" xfId="0" applyFont="1" applyBorder="1"/>
    <xf numFmtId="44" fontId="3" fillId="0" borderId="4" xfId="0" applyNumberFormat="1" applyFont="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Border="1" applyAlignment="1">
      <alignment horizontal="left"/>
    </xf>
    <xf numFmtId="0" fontId="3" fillId="0" borderId="4" xfId="0" quotePrefix="1" applyFont="1" applyBorder="1" applyAlignment="1">
      <alignment horizontal="left" wrapText="1"/>
    </xf>
    <xf numFmtId="0" fontId="4" fillId="0" borderId="3" xfId="0" applyFont="1" applyBorder="1" applyAlignment="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6" borderId="1" xfId="0" applyFont="1" applyFill="1" applyBorder="1" applyAlignment="1">
      <alignment horizontal="centerContinuous"/>
    </xf>
    <xf numFmtId="0" fontId="3" fillId="8" borderId="1" xfId="0" applyFont="1" applyFill="1" applyBorder="1" applyAlignment="1">
      <alignment horizontal="center"/>
    </xf>
    <xf numFmtId="0" fontId="14"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4"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7" fillId="0" borderId="5" xfId="0" quotePrefix="1" applyFont="1" applyBorder="1" applyAlignment="1">
      <alignment horizontal="left"/>
    </xf>
    <xf numFmtId="0" fontId="7" fillId="0" borderId="8" xfId="0" quotePrefix="1" applyFont="1" applyBorder="1" applyAlignment="1">
      <alignment horizontal="left"/>
    </xf>
    <xf numFmtId="0" fontId="16" fillId="0" borderId="0" xfId="0" applyFont="1"/>
    <xf numFmtId="0" fontId="16" fillId="0" borderId="0" xfId="0" quotePrefix="1" applyFont="1" applyAlignment="1">
      <alignment horizontal="left"/>
    </xf>
    <xf numFmtId="0" fontId="13"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0" fontId="5" fillId="0" borderId="9" xfId="3" quotePrefix="1" applyNumberFormat="1" applyFont="1" applyFill="1" applyBorder="1" applyAlignment="1" applyProtection="1">
      <alignment horizontal="left"/>
    </xf>
    <xf numFmtId="167" fontId="4" fillId="0" borderId="12" xfId="0" applyNumberFormat="1" applyFont="1" applyBorder="1" applyAlignment="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8"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4" fillId="0" borderId="9" xfId="0" applyFont="1" applyBorder="1"/>
    <xf numFmtId="0" fontId="4" fillId="0" borderId="1" xfId="0" applyFont="1" applyBorder="1" applyAlignment="1">
      <alignment horizontal="left" vertical="center" wrapText="1" indent="1"/>
    </xf>
    <xf numFmtId="0" fontId="5" fillId="0" borderId="1" xfId="0" quotePrefix="1" applyFont="1" applyBorder="1" applyAlignment="1">
      <alignment horizontal="left" vertical="center" wrapText="1" indent="1"/>
    </xf>
    <xf numFmtId="0" fontId="5" fillId="0" borderId="8" xfId="0" applyFont="1" applyBorder="1" applyAlignment="1">
      <alignment horizontal="left" indent="1"/>
    </xf>
    <xf numFmtId="0" fontId="3" fillId="0" borderId="1" xfId="0" applyFont="1" applyBorder="1"/>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5" fillId="0" borderId="1" xfId="0" applyFont="1" applyBorder="1"/>
    <xf numFmtId="44" fontId="3" fillId="0" borderId="3" xfId="1" applyFont="1" applyFill="1" applyBorder="1"/>
    <xf numFmtId="44" fontId="4" fillId="9" borderId="1" xfId="1" applyFont="1" applyFill="1" applyBorder="1"/>
    <xf numFmtId="0" fontId="3" fillId="7" borderId="1" xfId="0" applyFont="1" applyFill="1" applyBorder="1" applyAlignment="1">
      <alignment horizontal="centerContinuous"/>
    </xf>
    <xf numFmtId="0" fontId="3"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166" fontId="5" fillId="0" borderId="1" xfId="3" applyNumberFormat="1" applyFont="1" applyFill="1" applyBorder="1"/>
    <xf numFmtId="44" fontId="5" fillId="9" borderId="1" xfId="1" applyFont="1" applyFill="1" applyBorder="1"/>
    <xf numFmtId="0" fontId="18" fillId="0" borderId="0" xfId="0" applyFont="1" applyProtection="1">
      <protection locked="0"/>
    </xf>
    <xf numFmtId="49" fontId="0" fillId="0" borderId="0" xfId="0" applyNumberFormat="1"/>
    <xf numFmtId="43" fontId="0" fillId="0" borderId="0" xfId="3" applyFont="1" applyBorder="1"/>
    <xf numFmtId="43" fontId="0" fillId="0" borderId="19" xfId="3" applyFont="1" applyBorder="1"/>
    <xf numFmtId="43" fontId="0" fillId="0" borderId="0" xfId="3" applyFont="1"/>
    <xf numFmtId="166" fontId="0" fillId="0" borderId="0" xfId="3" applyNumberFormat="1" applyFont="1"/>
    <xf numFmtId="166" fontId="0" fillId="0" borderId="0" xfId="0" applyNumberFormat="1"/>
    <xf numFmtId="0" fontId="19" fillId="0" borderId="0" xfId="0" applyFont="1" applyAlignment="1">
      <alignment horizontal="center" vertical="center"/>
    </xf>
    <xf numFmtId="0" fontId="0" fillId="0" borderId="0" xfId="0" applyAlignment="1">
      <alignment horizontal="center" wrapText="1"/>
    </xf>
    <xf numFmtId="165" fontId="0" fillId="0" borderId="0" xfId="0" applyNumberFormat="1"/>
    <xf numFmtId="166" fontId="20" fillId="0" borderId="0" xfId="3" applyNumberFormat="1" applyFont="1" applyAlignment="1">
      <alignment horizontal="center" vertical="center"/>
    </xf>
    <xf numFmtId="10" fontId="0" fillId="0" borderId="0" xfId="2" applyNumberFormat="1" applyFont="1"/>
    <xf numFmtId="44" fontId="0" fillId="0" borderId="0" xfId="1" applyFont="1"/>
    <xf numFmtId="164" fontId="0" fillId="4" borderId="0" xfId="2" applyNumberFormat="1" applyFont="1" applyFill="1"/>
    <xf numFmtId="44" fontId="0" fillId="4" borderId="0" xfId="1" applyFont="1" applyFill="1"/>
    <xf numFmtId="164" fontId="0" fillId="0" borderId="0" xfId="2" applyNumberFormat="1" applyFont="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0" fillId="2" borderId="14" xfId="0" applyFill="1" applyBorder="1" applyAlignment="1">
      <alignment wrapText="1"/>
    </xf>
    <xf numFmtId="0" fontId="0" fillId="2" borderId="15" xfId="0" applyFill="1" applyBorder="1" applyAlignment="1">
      <alignment wrapText="1"/>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ill="1" applyAlignment="1">
      <alignment wrapText="1"/>
    </xf>
    <xf numFmtId="0" fontId="0" fillId="2" borderId="17" xfId="0" applyFill="1" applyBorder="1" applyAlignment="1">
      <alignment wrapText="1"/>
    </xf>
    <xf numFmtId="0" fontId="0" fillId="2" borderId="16"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660900</xdr:colOff>
      <xdr:row>14</xdr:row>
      <xdr:rowOff>34800</xdr:rowOff>
    </xdr:from>
    <xdr:to>
      <xdr:col>4</xdr:col>
      <xdr:colOff>737400</xdr:colOff>
      <xdr:row>18</xdr:row>
      <xdr:rowOff>123120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6" name="Ink 5">
              <a:extLst>
                <a:ext uri="{FF2B5EF4-FFF2-40B4-BE49-F238E27FC236}">
                  <a16:creationId xmlns:a16="http://schemas.microsoft.com/office/drawing/2014/main" id="{356C32AB-1B3C-9330-681F-DE09B4A24F8F}"/>
                </a:ext>
              </a:extLst>
            </xdr14:cNvPr>
            <xdr14:cNvContentPartPr/>
          </xdr14:nvContentPartPr>
          <xdr14:nvPr macro=""/>
          <xdr14:xfrm>
            <a:off x="1262880" y="2701800"/>
            <a:ext cx="2293920" cy="850320"/>
          </xdr14:xfrm>
        </xdr:contentPart>
      </mc:Choice>
      <mc:Fallback>
        <xdr:pic>
          <xdr:nvPicPr>
            <xdr:cNvPr id="6" name="Ink 5">
              <a:extLst>
                <a:ext uri="{FF2B5EF4-FFF2-40B4-BE49-F238E27FC236}">
                  <a16:creationId xmlns:a16="http://schemas.microsoft.com/office/drawing/2014/main" id="{356C32AB-1B3C-9330-681F-DE09B4A24F8F}"/>
                </a:ext>
              </a:extLst>
            </xdr:cNvPr>
            <xdr:cNvPicPr/>
          </xdr:nvPicPr>
          <xdr:blipFill>
            <a:blip xmlns:r="http://schemas.openxmlformats.org/officeDocument/2006/relationships" r:embed="rId2"/>
            <a:stretch>
              <a:fillRect/>
            </a:stretch>
          </xdr:blipFill>
          <xdr:spPr>
            <a:xfrm>
              <a:off x="1253880" y="2692804"/>
              <a:ext cx="2311560" cy="867953"/>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48</xdr:row>
          <xdr:rowOff>60960</xdr:rowOff>
        </xdr:from>
        <xdr:to>
          <xdr:col>6</xdr:col>
          <xdr:colOff>411480</xdr:colOff>
          <xdr:row>51</xdr:row>
          <xdr:rowOff>167640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60960</xdr:rowOff>
        </xdr:from>
        <xdr:to>
          <xdr:col>6</xdr:col>
          <xdr:colOff>411480</xdr:colOff>
          <xdr:row>51</xdr:row>
          <xdr:rowOff>167640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60960</xdr:rowOff>
        </xdr:from>
        <xdr:to>
          <xdr:col>6</xdr:col>
          <xdr:colOff>411480</xdr:colOff>
          <xdr:row>51</xdr:row>
          <xdr:rowOff>175260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60960</xdr:rowOff>
        </xdr:from>
        <xdr:to>
          <xdr:col>6</xdr:col>
          <xdr:colOff>411480</xdr:colOff>
          <xdr:row>51</xdr:row>
          <xdr:rowOff>175260</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6</xdr:col>
          <xdr:colOff>304800</xdr:colOff>
          <xdr:row>58</xdr:row>
          <xdr:rowOff>137160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62</xdr:row>
          <xdr:rowOff>0</xdr:rowOff>
        </xdr:from>
        <xdr:to>
          <xdr:col>6</xdr:col>
          <xdr:colOff>304800</xdr:colOff>
          <xdr:row>65</xdr:row>
          <xdr:rowOff>137160</xdr:rowOff>
        </xdr:to>
        <xdr:sp macro="" textlink="">
          <xdr:nvSpPr>
            <xdr:cNvPr id="3078" name="Object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1-13T18:45:02.692"/>
    </inkml:context>
    <inkml:brush xml:id="br0">
      <inkml:brushProperty name="width" value="0.05" units="cm"/>
      <inkml:brushProperty name="height" value="0.05" units="cm"/>
    </inkml:brush>
  </inkml:definitions>
  <inkml:trace contextRef="#ctx0" brushRef="#br0">0 2362 24575,'3'-26'0,"0"1"0,2-1 0,1 1 0,1 1 0,1-1 0,21-44 0,-15 35 0,63-141 0,7 4 0,8 3 0,7 5 0,7 4 0,6 4 0,8 6 0,173-168 0,-201 230 0,102-75 0,-143 125 0,1 2 0,1 3 0,113-51 0,-157 79 0,2 0 0,-1 1 0,0 0 0,1 0 0,-1 1 0,1 1 0,0 0 0,16 0 0,-24 1 0,0 1 0,0-1 0,0 1 0,0 0 0,0 0 0,0 0 0,0 0 0,0 1 0,0-1 0,0 1 0,0 0 0,-1 0 0,1 0 0,-1 0 0,0 0 0,1 0 0,-1 1 0,0-1 0,0 1 0,-1 0 0,1-1 0,0 1 0,-1 0 0,0 0 0,1 0 0,-1 0 0,-1 0 0,1 0 0,0 0 0,-1 1 0,1 3 0,2 25 0,-1-1 0,-2 0 0,-1 1 0,-1-1 0,-13 61 0,-1-25 0,-41 109 0,41-136 0,-2 1 0,-2-2 0,-1-1 0,-2 0 0,-1-2 0,-46 52 0,52-68 0,-1-1 0,0-2 0,-1 0 0,-1-1 0,-1 0 0,0-2 0,-1-1 0,-1-1 0,0-1 0,0 0 0,-1-2 0,-27 6 0,42-13 10,1 0 0,-1-1 0,1 0 0,-1-1 0,1 1 0,-1-2 0,1 0 0,-1 0 0,1 0 0,-1-1 0,-10-4 0,14 4-93,0-1 1,1 0-1,-1 0 1,0 0-1,1-1 1,0 0-1,0 0 1,0 0-1,0-1 1,1 1-1,0-1 1,0 0-1,0 0 1,0-1-1,1 1 1,0-1-1,-3-7 1,2 3-6744</inkml:trace>
  <inkml:trace contextRef="#ctx0" brushRef="#br0" timeOffset="1336.53">1459 1458 24575,'-1'18'0,"1"-15"0,-1-1 0,1 1 0,0 0 0,-1-1 0,1 1 0,0 0 0,1 0 0,-1-1 0,0 1 0,1 0 0,0-1 0,-1 1 0,1-1 0,0 1 0,0-1 0,1 1 0,-1-1 0,0 0 0,1 1 0,-1-1 0,1 0 0,0 0 0,0 0 0,0 0 0,0 0 0,0-1 0,0 1 0,4 2 0,2 0 0,0-1 0,0 1 0,0-1 0,1-1 0,-1 0 0,1 0 0,0 0 0,-1-1 0,1 0 0,12-1 0,-4-1 0,-2-1 0,1 0 0,0-2 0,0 0 0,17-6 0,12-9 0,-1-2 0,69-43 0,-113 64 0,94-62 0,-2-3 0,157-149 0,124-193 0,-168 134 0,-174 225 0,-1-2 0,-4-1 0,38-98 0,-59 136 0,-1 0 0,-1-1 0,2-16 0,-4 28 0,-1 0 0,1 0 0,-1 0 0,0 0 0,0 0 0,0 0 0,0 0 0,0 0 0,-1 0 0,1 1 0,-1-1 0,1 0 0,-1 0 0,1 0 0,-1 0 0,0 0 0,0 1 0,0-1 0,0 0 0,0 1 0,-1-1 0,1 1 0,0-1 0,-1 1 0,1 0 0,-1-1 0,1 1 0,-1 0 0,-3-2 0,1 3 0,1-1 0,-1 0 0,0 1 0,0 0 0,0 0 0,0 0 0,1 1 0,-1-1 0,0 1 0,0 0 0,0 0 0,1 0 0,-1 0 0,1 1 0,-1-1 0,1 1 0,-7 4 0,-9 7 0,-32 28 0,45-36 0,-54 51 0,2 2 0,3 2 0,2 3 0,-58 91 0,40-39 0,-106 229 0,130-232 0,-46 160 0,77-213 0,3 0 0,3 1 0,2 0 0,0 102 0,8-145 0,1 1 0,1-1 0,0 1 0,2-1 0,0 0 0,12 31 0,-15-43 0,2 0 0,-1-1 0,1 1 0,-1-1 0,1 1 0,0-1 0,1 0 0,-1 0 0,1 0 0,0-1 0,0 1 0,0-1 0,0 0 0,1 0 0,-1-1 0,1 1 0,-1-1 0,1 0 0,0 0 0,0 0 0,0-1 0,0 0 0,0 0 0,1 0 0,-1 0 0,6-1 0,0-1 0,-1 0 0,0 0 0,0-1 0,0 0 0,0-1 0,0 0 0,-1-1 0,1 0 0,13-8 0,2-4 0,0 0 0,28-26 0,26-29 0,-2-5 0,117-148 0,106-196 0,-7-20 0,-283 427 0,-1-1 0,0 0 0,0 1 0,2 0 0,-1 1 0,2 0 0,0 0 0,0 2 0,14-11 0,-24 20 0,0 0 0,0 0 0,0 0 0,0 0 0,0 0 0,0 1 0,0-1 0,0 1 0,0-1 0,0 1 0,0 0 0,0 0 0,0 0 0,0 0 0,0 0 0,0 0 0,1 0 0,-1 1 0,0-1 0,0 1 0,0-1 0,0 1 0,0 0 0,0 0 0,-1 0 0,1 0 0,0 0 0,0 0 0,-1 1 0,1-1 0,0 1 0,1 2 0,3 3 0,-1 1 0,0 0 0,-1 0 0,0 0 0,0 0 0,3 14 0,17 57 0,17 104 0,13 47 0,-45-200 0,2 0 0,1-1 0,1-1 0,2 0 0,27 39 0,-33-55 0,0 0 0,1-1 0,0-1 0,1 1 0,0-2 0,1 1 0,0-1 0,0-1 0,1-1 0,0 1 0,22 7 0,-16-8 0,1-2 0,-1 0 0,1-2 0,0 0 0,0-1 0,0 0 0,35-4 0,-6-4 0,0-2 0,0-3 0,0-1 0,-2-3 0,0-2 0,46-23 0,-82 35 0,23-9 0,0-2 0,-1-2 0,0-1 0,43-34 0,-59 34 120,-17 19-155,1 0-1,-1-1 1,0 1 0,1 0-1,-1-1 1,0 1-1,0-1 1,0 1 0,1-1-1,-1 1 1,0-1 0,0 1-1,0-1 1,0 1 0,0-1-1,0 1 1,0-1 0,0 1-1,0-1 1,0 1-1,0-1 1,0 1 0,0-1-1,0 1 1,0-1 0,-1 1-1,1-1 1,0 1 0,0-1-1,-1 1 1,1 0 0,0-1-1,0 1 1,-1-1-1,1 1 1,0 0 0,-1-1-1,1 1 1,-1 0 0,1-1-1,-1 1 1</inkml:trace>
  <inkml:trace contextRef="#ctx0" brushRef="#br0" timeOffset="1692.95">1905 1006 24575,'0'0'0,"-1"-1"0,-1 0 0,3-1 0,12 0 0,22-2 0,5-2 0,-4 1 0,-9 2-8191</inkml:trace>
  <inkml:trace contextRef="#ctx0" brushRef="#br0" timeOffset="3539.23">4367 454 24575,'3'1'0,"0"0"0,1 0 0,0 0 0,-1 0 0,1-1 0,0 0 0,-1 1 0,1-1 0,0 0 0,-1-1 0,1 1 0,0-1 0,-1 1 0,8-3 0,4-1 0,500-112 0,-7-29 0,-314 88 0,-171 50 0,-9 2 0,0 1 0,0 1 0,17-2 0,-30 4 0,0 1 0,0 0 0,0 0 0,-1 0 0,1 0 0,0 0 0,0 0 0,0 0 0,0 0 0,-1 0 0,1 1 0,0-1 0,0 0 0,0 0 0,-1 1 0,1-1 0,0 0 0,0 1 0,-1-1 0,1 1 0,0-1 0,-1 1 0,1-1 0,-1 1 0,1 0 0,0-1 0,-1 1 0,0 0 0,1-1 0,-1 1 0,1 0 0,-1 0 0,0-1 0,1 1 0,-1 0 0,0 0 0,0 0 0,0-1 0,0 1 0,1 0 0,-1 0 0,0 0 0,-1 0 0,1-1 0,0 2 0,-1 6 0,-1-1 0,1 0 0,-2 0 0,-3 10 0,5-13 0,-62 134 0,-120 199 0,151-282 0,30-52 0,-291 492 0,-28-19 0,283-425 0,-2-2 0,-2-2 0,-51 44 0,86-85 0,0 0 0,-1 0 0,1-1 0,-1 0 0,0 0 0,-1-1 0,1 0 0,-1-1 0,1 1 0,-17 2 0,22-5 0,0-1 0,0 0 0,0 0 0,-1 0 0,1-1 0,0 1 0,0-1 0,0 1 0,0-1 0,0 0 0,0 0 0,1-1 0,-1 1 0,-3-2 0,2 0 0,0 0 0,1-1 0,-1 1 0,1-1 0,0 0 0,0 0 0,0 0 0,0 0 0,0 0 0,-3-9 0,-4-11 0,2 0 0,0-1 0,2 1 0,-6-51 0,0-110 0,10 150 0,18-901 0,-15 915 0,-1 14 0,0 1 0,0-1 0,1 1 0,0 0 0,0-1 0,0 1 0,1 0 0,0 0 0,5-10 0,-7 16 0,0-1 0,0 1 0,0 0 0,1-1 0,-1 1 0,0 0 0,1 0 0,-1-1 0,0 1 0,1 0 0,-1 0 0,0-1 0,1 1 0,-1 0 0,0 0 0,1 0 0,-1 0 0,1 0 0,-1-1 0,0 1 0,1 0 0,-1 0 0,1 0 0,-1 0 0,0 0 0,1 0 0,-1 0 0,1 0 0,-1 1 0,0-1 0,1 0 0,-1 0 0,0 0 0,1 0 0,-1 0 0,1 1 0,-1-1 0,0 0 0,1 0 0,-1 1 0,0-1 0,8 7 0,-1 0 0,0 0 0,-1 0 0,0 1 0,9 14 0,0-2 0,28 40 0,247 321 0,-224-303 0,3-2 0,131 109 0,-172-163 0,2-1 0,-1-1 0,2-2 0,1 0 0,0-3 0,41 15 0,-58-26 0,0 0 0,1 0 0,-1-2 0,0 0 0,1-1 0,-1 0 0,20-2 0,-24 0 0,-1-1 0,1 0 0,-1-1 0,0 0 0,1-1 0,-1 0 0,-1 0 0,1-1 0,-1 0 0,0-1 0,13-9 0,-17 10 0,1 1 0,-1-1 0,0 0 0,-1 0 0,1-1 0,-1 1 0,0-1 0,0 0 0,-1 0 0,0 0 0,0-1 0,0 1 0,-1-1 0,0 0 0,0 1 0,0-1 0,-1 0 0,0 0 0,-1 0 0,0 0 0,0 0 0,-1-7 0,-2-8 0,-2 0 0,-1 1 0,0 0 0,-2 0 0,-15-32 0,21 51 0,1-1 0,0 0 0,-1 0 0,2 1 0,-1-1 0,0 0 0,0 0 0,0-6 0,2 8 0,-1 0 0,0 0 0,1 0 0,-1 0 0,1 0 0,-1 0 0,1 0 0,-1 1 0,1-1 0,-1 0 0,1 0 0,0 0 0,0 1 0,-1-1 0,1 0 0,0 1 0,0-1 0,0 1 0,0-1 0,0 1 0,0-1 0,0 1 0,0 0 0,0-1 0,0 1 0,0 0 0,0 0 0,0 0 0,0 0 0,1 0 0,14-2 0,1 1 0,-1 0 0,0 1 0,0 1 0,23 5 0,82 23 0,-70-13 0,0 2 0,-1 2 0,-2 2 0,73 45 0,-117-64 0,5 3 0,-1 0 0,1 0 0,13 14 0,-21-19 0,0 0 0,0 0 0,0 0 0,0 1 0,0-1 0,0 0 0,0 1 0,0-1 0,-1 0 0,1 1 0,0-1 0,-1 1 0,1-1 0,-1 1 0,1-1 0,-1 1 0,0-1 0,0 1 0,0 0 0,0-1 0,0 1 0,0-1 0,0 1 0,0 0 0,-1-1 0,1 1 0,-1-1 0,1 1 0,-1-1 0,1 1 0,-1-1 0,-2 3 0,-5 5 0,0 0 0,-1 0 0,-1-1 0,0 0 0,-14 9 0,-63 33 0,31-19 0,40-22-227,-1 2-1,2 0 1,0 1-1,0 0 1,-13 15-1,20-16-6598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3" Type="http://schemas.openxmlformats.org/officeDocument/2006/relationships/vmlDrawing" Target="../drawings/vmlDrawing7.vml"/><Relationship Id="rId7" Type="http://schemas.openxmlformats.org/officeDocument/2006/relationships/oleObject" Target="../embeddings/oleObject2.bin"/><Relationship Id="rId12" Type="http://schemas.openxmlformats.org/officeDocument/2006/relationships/package" Target="../embeddings/Microsoft_Excel_Worksheet.xls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image" Target="../media/image3.emf"/><Relationship Id="rId11" Type="http://schemas.openxmlformats.org/officeDocument/2006/relationships/image" Target="../media/image4.emf"/><Relationship Id="rId5" Type="http://schemas.openxmlformats.org/officeDocument/2006/relationships/oleObject" Target="../embeddings/oleObject1.bin"/><Relationship Id="rId10" Type="http://schemas.openxmlformats.org/officeDocument/2006/relationships/oleObject" Target="../embeddings/oleObject5.bin"/><Relationship Id="rId4" Type="http://schemas.openxmlformats.org/officeDocument/2006/relationships/vmlDrawing" Target="../drawings/vmlDrawing8.vml"/><Relationship Id="rId9" Type="http://schemas.openxmlformats.org/officeDocument/2006/relationships/oleObject" Target="../embeddings/oleObject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51"/>
  <sheetViews>
    <sheetView zoomScaleNormal="100" workbookViewId="0"/>
  </sheetViews>
  <sheetFormatPr defaultColWidth="8.77734375" defaultRowHeight="15" customHeight="1" x14ac:dyDescent="0.3"/>
  <cols>
    <col min="2" max="2" width="36.21875" customWidth="1"/>
    <col min="3" max="5" width="25.77734375" customWidth="1"/>
    <col min="6" max="6" width="28.21875" customWidth="1"/>
    <col min="7" max="7" width="30.109375" customWidth="1"/>
  </cols>
  <sheetData>
    <row r="2" spans="2:7" ht="18" x14ac:dyDescent="0.35">
      <c r="B2" s="15" t="s">
        <v>100</v>
      </c>
      <c r="C2" s="16"/>
      <c r="D2" s="16"/>
      <c r="E2" s="16"/>
      <c r="F2" s="16"/>
      <c r="G2" s="16"/>
    </row>
    <row r="3" spans="2:7" ht="15" customHeight="1" x14ac:dyDescent="0.3">
      <c r="B3" s="17"/>
      <c r="C3" s="16"/>
      <c r="D3" s="16"/>
      <c r="E3" s="16"/>
      <c r="F3" s="16"/>
      <c r="G3" s="16"/>
    </row>
    <row r="4" spans="2:7" ht="15" customHeight="1" thickBot="1" x14ac:dyDescent="0.35">
      <c r="B4" s="13" t="s">
        <v>29</v>
      </c>
      <c r="C4" s="16"/>
      <c r="D4" s="16"/>
      <c r="E4" s="16"/>
      <c r="F4" s="16"/>
      <c r="G4" s="16"/>
    </row>
    <row r="5" spans="2:7" ht="15" customHeight="1" x14ac:dyDescent="0.3">
      <c r="B5" s="18" t="s">
        <v>117</v>
      </c>
      <c r="C5" s="19"/>
      <c r="D5" s="19"/>
      <c r="E5" s="20"/>
      <c r="F5" s="16"/>
      <c r="G5" s="16"/>
    </row>
    <row r="6" spans="2:7" ht="15" customHeight="1" x14ac:dyDescent="0.3">
      <c r="B6" s="21" t="s">
        <v>99</v>
      </c>
      <c r="C6" s="16"/>
      <c r="D6" s="16"/>
      <c r="E6" s="22"/>
      <c r="F6" s="16"/>
      <c r="G6" s="16"/>
    </row>
    <row r="7" spans="2:7" ht="15" customHeight="1" x14ac:dyDescent="0.3">
      <c r="B7" s="21" t="s">
        <v>30</v>
      </c>
      <c r="C7" s="16"/>
      <c r="D7" s="16"/>
      <c r="E7" s="22"/>
      <c r="F7" s="16"/>
      <c r="G7" s="16"/>
    </row>
    <row r="8" spans="2:7" ht="15" customHeight="1" thickBot="1" x14ac:dyDescent="0.35">
      <c r="B8" s="39" t="s">
        <v>68</v>
      </c>
      <c r="C8" s="23"/>
      <c r="D8" s="23"/>
      <c r="E8" s="24"/>
      <c r="F8" s="16"/>
      <c r="G8" s="16"/>
    </row>
    <row r="9" spans="2:7" ht="15" customHeight="1" x14ac:dyDescent="0.3">
      <c r="B9" s="16"/>
      <c r="C9" s="16"/>
      <c r="D9" s="16"/>
      <c r="E9" s="16"/>
      <c r="F9" s="16"/>
      <c r="G9" s="16"/>
    </row>
    <row r="10" spans="2:7" ht="15" customHeight="1" thickBot="1" x14ac:dyDescent="0.35">
      <c r="B10" s="13" t="s">
        <v>31</v>
      </c>
      <c r="C10" s="16"/>
      <c r="D10" s="16"/>
      <c r="E10" s="16"/>
      <c r="F10" s="16"/>
      <c r="G10" s="16"/>
    </row>
    <row r="11" spans="2:7" ht="15" customHeight="1" x14ac:dyDescent="0.3">
      <c r="B11" s="53" t="s">
        <v>69</v>
      </c>
      <c r="C11" s="105" t="s">
        <v>175</v>
      </c>
      <c r="E11" s="16"/>
      <c r="F11" s="16"/>
      <c r="G11" s="16"/>
    </row>
    <row r="12" spans="2:7" ht="15" customHeight="1" x14ac:dyDescent="0.3">
      <c r="B12" s="25" t="s">
        <v>114</v>
      </c>
      <c r="C12" s="106">
        <v>7</v>
      </c>
      <c r="E12" s="16"/>
      <c r="F12" s="16"/>
      <c r="G12" s="16"/>
    </row>
    <row r="13" spans="2:7" ht="15" customHeight="1" x14ac:dyDescent="0.3">
      <c r="B13" s="104" t="s">
        <v>116</v>
      </c>
      <c r="C13" s="122" t="s">
        <v>131</v>
      </c>
      <c r="E13" s="16"/>
      <c r="F13" s="16"/>
      <c r="G13" s="16"/>
    </row>
    <row r="14" spans="2:7" ht="15" customHeight="1" x14ac:dyDescent="0.3">
      <c r="B14" s="104" t="s">
        <v>115</v>
      </c>
      <c r="C14" s="107" t="s">
        <v>131</v>
      </c>
      <c r="E14" s="16"/>
      <c r="F14" s="16"/>
      <c r="G14" s="16"/>
    </row>
    <row r="15" spans="2:7" ht="15" customHeight="1" thickBot="1" x14ac:dyDescent="0.35">
      <c r="B15" s="26" t="s">
        <v>32</v>
      </c>
      <c r="C15" s="108">
        <v>44834</v>
      </c>
      <c r="E15" s="16"/>
      <c r="F15" s="16"/>
      <c r="G15" s="16"/>
    </row>
    <row r="16" spans="2:7" ht="15" customHeight="1" x14ac:dyDescent="0.3">
      <c r="B16" s="16"/>
      <c r="C16" s="16"/>
      <c r="D16" s="16"/>
      <c r="E16" s="16"/>
      <c r="F16" s="16"/>
      <c r="G16" s="16"/>
    </row>
    <row r="17" spans="2:7" ht="15" customHeight="1" thickBot="1" x14ac:dyDescent="0.35">
      <c r="B17" s="13" t="s">
        <v>33</v>
      </c>
      <c r="C17" s="16"/>
      <c r="D17" s="16"/>
      <c r="E17" s="16"/>
      <c r="F17" s="16"/>
      <c r="G17" s="16"/>
    </row>
    <row r="18" spans="2:7" ht="15" customHeight="1" x14ac:dyDescent="0.3">
      <c r="B18" s="86" t="s">
        <v>94</v>
      </c>
      <c r="C18" s="19"/>
      <c r="D18" s="19"/>
      <c r="E18" s="19"/>
      <c r="F18" s="19"/>
      <c r="G18" s="20"/>
    </row>
    <row r="19" spans="2:7" ht="15" customHeight="1" x14ac:dyDescent="0.3">
      <c r="B19" s="28" t="s">
        <v>47</v>
      </c>
      <c r="C19" s="16"/>
      <c r="D19" s="16"/>
      <c r="E19" s="16"/>
      <c r="F19" s="16"/>
      <c r="G19" s="22"/>
    </row>
    <row r="20" spans="2:7" ht="15" customHeight="1" x14ac:dyDescent="0.3">
      <c r="B20" s="21" t="s">
        <v>102</v>
      </c>
      <c r="C20" s="16"/>
      <c r="D20" s="16"/>
      <c r="E20" s="16"/>
      <c r="F20" s="16"/>
      <c r="G20" s="22"/>
    </row>
    <row r="21" spans="2:7" ht="15" customHeight="1" x14ac:dyDescent="0.3">
      <c r="B21" s="109" t="s">
        <v>121</v>
      </c>
      <c r="C21" s="47"/>
      <c r="D21" s="47"/>
      <c r="E21" s="47"/>
      <c r="F21" s="47"/>
      <c r="G21" s="48"/>
    </row>
    <row r="22" spans="2:7" ht="15" customHeight="1" x14ac:dyDescent="0.3">
      <c r="B22" s="46" t="s">
        <v>134</v>
      </c>
      <c r="C22" s="47"/>
      <c r="D22" s="47"/>
      <c r="E22" s="47"/>
      <c r="F22" s="47"/>
      <c r="G22" s="48"/>
    </row>
    <row r="23" spans="2:7" ht="15" customHeight="1" x14ac:dyDescent="0.3">
      <c r="B23" s="109" t="s">
        <v>122</v>
      </c>
      <c r="C23" s="47"/>
      <c r="D23" s="47"/>
      <c r="E23" s="47"/>
      <c r="F23" s="47"/>
      <c r="G23" s="48"/>
    </row>
    <row r="24" spans="2:7" ht="15" customHeight="1" x14ac:dyDescent="0.3">
      <c r="B24" s="46" t="s">
        <v>104</v>
      </c>
      <c r="C24" s="47"/>
      <c r="D24" s="47"/>
      <c r="E24" s="47"/>
      <c r="F24" s="47"/>
      <c r="G24" s="48"/>
    </row>
    <row r="25" spans="2:7" ht="15" customHeight="1" x14ac:dyDescent="0.3">
      <c r="B25" s="28" t="s">
        <v>143</v>
      </c>
      <c r="C25" s="16"/>
      <c r="D25" s="16"/>
      <c r="E25" s="16"/>
      <c r="F25" s="16"/>
      <c r="G25" s="22"/>
    </row>
    <row r="26" spans="2:7" ht="15" customHeight="1" x14ac:dyDescent="0.3">
      <c r="B26" s="125" t="s">
        <v>161</v>
      </c>
      <c r="C26" s="16"/>
      <c r="D26" s="16"/>
      <c r="E26" s="16"/>
      <c r="F26" s="16"/>
      <c r="G26" s="22"/>
    </row>
    <row r="27" spans="2:7" ht="15" customHeight="1" x14ac:dyDescent="0.3">
      <c r="B27" s="125" t="s">
        <v>164</v>
      </c>
      <c r="C27" s="16"/>
      <c r="D27" s="16"/>
      <c r="E27" s="16"/>
      <c r="F27" s="16"/>
      <c r="G27" s="22"/>
    </row>
    <row r="28" spans="2:7" ht="15" customHeight="1" x14ac:dyDescent="0.3">
      <c r="B28" s="28" t="s">
        <v>48</v>
      </c>
      <c r="C28" s="16"/>
      <c r="D28" s="16"/>
      <c r="E28" s="16"/>
      <c r="F28" s="16"/>
      <c r="G28" s="22"/>
    </row>
    <row r="29" spans="2:7" ht="15" customHeight="1" x14ac:dyDescent="0.3">
      <c r="B29" s="28" t="s">
        <v>103</v>
      </c>
      <c r="C29" s="16"/>
      <c r="D29" s="16"/>
      <c r="E29" s="16"/>
      <c r="F29" s="16"/>
      <c r="G29" s="22"/>
    </row>
    <row r="30" spans="2:7" ht="15" customHeight="1" x14ac:dyDescent="0.3">
      <c r="B30" s="28" t="s">
        <v>50</v>
      </c>
      <c r="C30" s="16"/>
      <c r="D30" s="16"/>
      <c r="E30" s="16"/>
      <c r="F30" s="16"/>
      <c r="G30" s="22"/>
    </row>
    <row r="31" spans="2:7" ht="15" customHeight="1" x14ac:dyDescent="0.3">
      <c r="B31" s="38" t="s">
        <v>51</v>
      </c>
      <c r="C31" s="16"/>
      <c r="D31" s="16"/>
      <c r="E31" s="16"/>
      <c r="F31" s="16"/>
      <c r="G31" s="22"/>
    </row>
    <row r="32" spans="2:7" ht="15" customHeight="1" x14ac:dyDescent="0.3">
      <c r="B32" s="38"/>
      <c r="C32" s="16"/>
      <c r="D32" s="16"/>
      <c r="E32" s="16"/>
      <c r="F32" s="16"/>
      <c r="G32" s="22"/>
    </row>
    <row r="33" spans="2:7" ht="15" customHeight="1" x14ac:dyDescent="0.3">
      <c r="B33" s="87" t="s">
        <v>113</v>
      </c>
      <c r="C33" s="16"/>
      <c r="D33" s="16"/>
      <c r="E33" s="16"/>
      <c r="F33" s="16"/>
      <c r="G33" s="22"/>
    </row>
    <row r="34" spans="2:7" ht="15" customHeight="1" x14ac:dyDescent="0.3">
      <c r="B34" s="21" t="s">
        <v>132</v>
      </c>
      <c r="C34" s="16"/>
      <c r="D34" s="16"/>
      <c r="E34" s="16"/>
      <c r="F34" s="16"/>
      <c r="G34" s="22"/>
    </row>
    <row r="35" spans="2:7" ht="15" customHeight="1" x14ac:dyDescent="0.3">
      <c r="B35" s="21" t="s">
        <v>133</v>
      </c>
      <c r="C35" s="16"/>
      <c r="D35" s="16"/>
      <c r="E35" s="16"/>
      <c r="F35" s="16"/>
      <c r="G35" s="22"/>
    </row>
    <row r="36" spans="2:7" ht="15" customHeight="1" x14ac:dyDescent="0.3">
      <c r="B36" s="21" t="s">
        <v>118</v>
      </c>
      <c r="C36" s="16"/>
      <c r="D36" s="16"/>
      <c r="E36" s="16"/>
      <c r="F36" s="16"/>
      <c r="G36" s="22"/>
    </row>
    <row r="37" spans="2:7" ht="15" customHeight="1" x14ac:dyDescent="0.3">
      <c r="B37" s="38"/>
      <c r="C37" s="16"/>
      <c r="D37" s="16"/>
      <c r="E37" s="16"/>
      <c r="F37" s="16"/>
      <c r="G37" s="22"/>
    </row>
    <row r="38" spans="2:7" ht="15" customHeight="1" x14ac:dyDescent="0.3">
      <c r="B38" s="87" t="s">
        <v>95</v>
      </c>
      <c r="C38" s="16"/>
      <c r="D38" s="16"/>
      <c r="E38" s="16"/>
      <c r="F38" s="16"/>
      <c r="G38" s="22"/>
    </row>
    <row r="39" spans="2:7" ht="15" customHeight="1" x14ac:dyDescent="0.3">
      <c r="B39" s="21" t="s">
        <v>119</v>
      </c>
      <c r="C39" s="16"/>
      <c r="D39" s="16"/>
      <c r="E39" s="16"/>
      <c r="F39" s="16"/>
      <c r="G39" s="22"/>
    </row>
    <row r="40" spans="2:7" ht="15" customHeight="1" x14ac:dyDescent="0.3">
      <c r="B40" s="38"/>
      <c r="C40" s="16"/>
      <c r="D40" s="16"/>
      <c r="E40" s="16"/>
      <c r="F40" s="16"/>
      <c r="G40" s="22"/>
    </row>
    <row r="41" spans="2:7" ht="15" customHeight="1" x14ac:dyDescent="0.3">
      <c r="B41" s="87" t="s">
        <v>96</v>
      </c>
      <c r="C41" s="16"/>
      <c r="D41" s="16"/>
      <c r="E41" s="16"/>
      <c r="F41" s="16"/>
      <c r="G41" s="22"/>
    </row>
    <row r="42" spans="2:7" ht="15" customHeight="1" x14ac:dyDescent="0.3">
      <c r="B42" s="21" t="s">
        <v>120</v>
      </c>
      <c r="C42" s="16"/>
      <c r="D42" s="16"/>
      <c r="E42" s="16"/>
      <c r="F42" s="16"/>
      <c r="G42" s="22"/>
    </row>
    <row r="43" spans="2:7" ht="15" customHeight="1" x14ac:dyDescent="0.3">
      <c r="B43" s="38"/>
      <c r="C43" s="16"/>
      <c r="D43" s="16"/>
      <c r="E43" s="16"/>
      <c r="F43" s="16"/>
      <c r="G43" s="22"/>
    </row>
    <row r="44" spans="2:7" ht="15" customHeight="1" x14ac:dyDescent="0.3">
      <c r="B44" s="87" t="s">
        <v>97</v>
      </c>
      <c r="C44" s="16"/>
      <c r="D44" s="16"/>
      <c r="E44" s="16"/>
      <c r="F44" s="16"/>
      <c r="G44" s="22"/>
    </row>
    <row r="45" spans="2:7" ht="15" customHeight="1" x14ac:dyDescent="0.3">
      <c r="B45" s="21" t="s">
        <v>98</v>
      </c>
      <c r="C45" s="16"/>
      <c r="D45" s="16"/>
      <c r="E45" s="16"/>
      <c r="F45" s="16"/>
      <c r="G45" s="22"/>
    </row>
    <row r="46" spans="2:7" ht="15" customHeight="1" x14ac:dyDescent="0.3">
      <c r="B46" s="21"/>
      <c r="C46" s="16"/>
      <c r="D46" s="16"/>
      <c r="E46" s="16"/>
      <c r="F46" s="16"/>
      <c r="G46" s="22"/>
    </row>
    <row r="47" spans="2:7" ht="15" customHeight="1" x14ac:dyDescent="0.3">
      <c r="B47" s="87" t="s">
        <v>135</v>
      </c>
      <c r="C47" s="16"/>
      <c r="D47" s="16"/>
      <c r="E47" s="16"/>
      <c r="F47" s="16"/>
      <c r="G47" s="22"/>
    </row>
    <row r="48" spans="2:7" ht="15" customHeight="1" x14ac:dyDescent="0.3">
      <c r="B48" s="21" t="s">
        <v>136</v>
      </c>
      <c r="C48" s="16"/>
      <c r="D48" s="16"/>
      <c r="E48" s="16"/>
      <c r="F48" s="16"/>
      <c r="G48" s="22"/>
    </row>
    <row r="49" spans="2:7" ht="15" customHeight="1" x14ac:dyDescent="0.3">
      <c r="B49" s="28"/>
      <c r="C49" s="16"/>
      <c r="D49" s="16"/>
      <c r="E49" s="16"/>
      <c r="F49" s="16"/>
      <c r="G49" s="22"/>
    </row>
    <row r="50" spans="2:7" ht="15" customHeight="1" x14ac:dyDescent="0.3">
      <c r="B50" s="87" t="s">
        <v>101</v>
      </c>
      <c r="C50" s="16"/>
      <c r="D50" s="16"/>
      <c r="E50" s="16"/>
      <c r="F50" s="16"/>
      <c r="G50" s="22"/>
    </row>
    <row r="51" spans="2:7" ht="15" customHeight="1" thickBot="1" x14ac:dyDescent="0.35">
      <c r="B51" s="30" t="s">
        <v>34</v>
      </c>
      <c r="C51" s="23"/>
      <c r="D51" s="23"/>
      <c r="E51" s="23"/>
      <c r="F51" s="23"/>
      <c r="G51" s="24"/>
    </row>
  </sheetData>
  <protectedRanges>
    <protectedRange sqref="C11:E11" name="Range1"/>
  </protectedRanges>
  <pageMargins left="0.7" right="0.7" top="0.75" bottom="0.75" header="0.3" footer="0.3"/>
  <pageSetup scale="71" fitToHeight="0" orientation="landscape" r:id="rId1"/>
  <headerFooter>
    <oddHeader>&amp;LState of Colorado&amp;RDraft and Confidential</oddHeader>
    <oddFooter>&amp;L&amp;F | &amp;A&amp;R&amp;G</oddFooter>
  </headerFooter>
  <rowBreaks count="1" manualBreakCount="1">
    <brk id="43"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1"/>
  <sheetViews>
    <sheetView zoomScaleNormal="100" zoomScaleSheetLayoutView="70" workbookViewId="0"/>
  </sheetViews>
  <sheetFormatPr defaultColWidth="8.77734375" defaultRowHeight="13.8" x14ac:dyDescent="0.3"/>
  <cols>
    <col min="1" max="1" width="2.21875" style="8" customWidth="1"/>
    <col min="2" max="2" width="11" style="8" bestFit="1" customWidth="1"/>
    <col min="3" max="3" width="53.21875" style="8" bestFit="1" customWidth="1"/>
    <col min="4" max="11" width="19.21875" style="8" customWidth="1"/>
    <col min="12" max="12" width="2.21875" style="8" customWidth="1"/>
    <col min="13" max="16384" width="8.77734375" style="8"/>
  </cols>
  <sheetData>
    <row r="2" spans="2:11" x14ac:dyDescent="0.3">
      <c r="B2" s="12" t="s">
        <v>105</v>
      </c>
      <c r="C2" s="13" t="str">
        <f>Overview!$C$11</f>
        <v>CCHA</v>
      </c>
    </row>
    <row r="3" spans="2:11" x14ac:dyDescent="0.3">
      <c r="B3" s="12" t="s">
        <v>114</v>
      </c>
      <c r="C3" s="13">
        <f>Overview!C12</f>
        <v>7</v>
      </c>
    </row>
    <row r="4" spans="2:11" x14ac:dyDescent="0.3">
      <c r="B4" s="12" t="s">
        <v>27</v>
      </c>
      <c r="C4" s="14" t="s">
        <v>75</v>
      </c>
    </row>
    <row r="5" spans="2:11" x14ac:dyDescent="0.3">
      <c r="B5" s="12" t="s">
        <v>28</v>
      </c>
      <c r="C5" s="13" t="str">
        <f>Overview!$C$14</f>
        <v>July 1, 2021 - June 30, 2022</v>
      </c>
    </row>
    <row r="6" spans="2:11" x14ac:dyDescent="0.3">
      <c r="B6" s="12"/>
      <c r="C6" s="13"/>
    </row>
    <row r="7" spans="2:11" x14ac:dyDescent="0.3">
      <c r="C7" s="51"/>
      <c r="D7" s="55" t="s">
        <v>61</v>
      </c>
      <c r="E7" s="56"/>
      <c r="F7" s="56"/>
      <c r="G7" s="56"/>
      <c r="H7" s="56"/>
      <c r="I7" s="56"/>
      <c r="J7" s="57"/>
      <c r="K7" s="50"/>
    </row>
    <row r="8" spans="2:11" x14ac:dyDescent="0.3">
      <c r="B8" s="34" t="s">
        <v>9</v>
      </c>
      <c r="C8" s="52" t="s">
        <v>7</v>
      </c>
      <c r="D8" s="52" t="s">
        <v>55</v>
      </c>
      <c r="E8" s="52" t="s">
        <v>56</v>
      </c>
      <c r="F8" s="52" t="s">
        <v>37</v>
      </c>
      <c r="G8" s="52" t="s">
        <v>57</v>
      </c>
      <c r="H8" s="52" t="s">
        <v>58</v>
      </c>
      <c r="I8" s="52" t="s">
        <v>59</v>
      </c>
      <c r="J8" s="52" t="s">
        <v>60</v>
      </c>
      <c r="K8" s="34" t="s">
        <v>38</v>
      </c>
    </row>
    <row r="9" spans="2:11" x14ac:dyDescent="0.3">
      <c r="B9" s="9" t="s">
        <v>10</v>
      </c>
      <c r="C9" s="9" t="s">
        <v>8</v>
      </c>
      <c r="D9" s="31">
        <v>21813722.139999997</v>
      </c>
      <c r="E9" s="31">
        <v>31457419.400000002</v>
      </c>
      <c r="F9" s="31">
        <v>55975850</v>
      </c>
      <c r="G9" s="31">
        <v>5073980.3999999994</v>
      </c>
      <c r="H9" s="31">
        <v>5666548.7999999998</v>
      </c>
      <c r="I9" s="31">
        <v>923153.76</v>
      </c>
      <c r="J9" s="31">
        <v>16639597.930000002</v>
      </c>
      <c r="K9" s="32">
        <f t="shared" ref="K9:K12" si="0">SUM(D9:J9)</f>
        <v>137550272.43000001</v>
      </c>
    </row>
    <row r="10" spans="2:11" x14ac:dyDescent="0.3">
      <c r="B10" s="9" t="s">
        <v>11</v>
      </c>
      <c r="C10" s="9" t="s">
        <v>52</v>
      </c>
      <c r="D10" s="31">
        <v>1430397.153003925</v>
      </c>
      <c r="E10" s="31">
        <v>456263.8308064533</v>
      </c>
      <c r="F10" s="31">
        <v>4812991.2889594957</v>
      </c>
      <c r="G10" s="31">
        <v>9798.6534879822939</v>
      </c>
      <c r="H10" s="31">
        <v>183210.9865573314</v>
      </c>
      <c r="I10" s="31">
        <v>-25612.213482478135</v>
      </c>
      <c r="J10" s="31">
        <v>1711065.2987286085</v>
      </c>
      <c r="K10" s="32">
        <f t="shared" si="0"/>
        <v>8578114.998061318</v>
      </c>
    </row>
    <row r="11" spans="2:11" x14ac:dyDescent="0.3">
      <c r="B11" s="9" t="s">
        <v>12</v>
      </c>
      <c r="C11" s="9" t="s">
        <v>35</v>
      </c>
      <c r="D11" s="31">
        <v>0</v>
      </c>
      <c r="E11" s="31">
        <v>0</v>
      </c>
      <c r="F11" s="31">
        <v>0</v>
      </c>
      <c r="G11" s="31">
        <v>0</v>
      </c>
      <c r="H11" s="31">
        <v>0</v>
      </c>
      <c r="I11" s="31">
        <v>0</v>
      </c>
      <c r="J11" s="31">
        <v>0</v>
      </c>
      <c r="K11" s="32">
        <f t="shared" si="0"/>
        <v>0</v>
      </c>
    </row>
    <row r="12" spans="2:11" ht="14.4" thickBot="1" x14ac:dyDescent="0.35">
      <c r="B12" s="11" t="s">
        <v>13</v>
      </c>
      <c r="C12" s="11" t="s">
        <v>26</v>
      </c>
      <c r="D12" s="64">
        <v>0</v>
      </c>
      <c r="E12" s="64">
        <v>0</v>
      </c>
      <c r="F12" s="64">
        <v>0</v>
      </c>
      <c r="G12" s="64">
        <v>0</v>
      </c>
      <c r="H12" s="64">
        <v>0</v>
      </c>
      <c r="I12" s="64">
        <v>0</v>
      </c>
      <c r="J12" s="64">
        <v>0</v>
      </c>
      <c r="K12" s="65">
        <f t="shared" si="0"/>
        <v>0</v>
      </c>
    </row>
    <row r="13" spans="2:11" ht="14.4" thickTop="1" x14ac:dyDescent="0.3">
      <c r="B13" s="62" t="s">
        <v>14</v>
      </c>
      <c r="C13" s="66" t="s">
        <v>72</v>
      </c>
      <c r="D13" s="63">
        <f>D9-D10-D11+D12</f>
        <v>20383324.986996073</v>
      </c>
      <c r="E13" s="63">
        <f t="shared" ref="E13:K13" si="1">E9-E10-E11+E12</f>
        <v>31001155.569193549</v>
      </c>
      <c r="F13" s="63">
        <f t="shared" si="1"/>
        <v>51162858.711040504</v>
      </c>
      <c r="G13" s="63">
        <f t="shared" si="1"/>
        <v>5064181.7465120172</v>
      </c>
      <c r="H13" s="63">
        <f t="shared" si="1"/>
        <v>5483337.8134426679</v>
      </c>
      <c r="I13" s="63">
        <f t="shared" si="1"/>
        <v>948765.97348247818</v>
      </c>
      <c r="J13" s="63">
        <f t="shared" si="1"/>
        <v>14928532.631271392</v>
      </c>
      <c r="K13" s="63">
        <f t="shared" si="1"/>
        <v>128972157.43193869</v>
      </c>
    </row>
    <row r="14" spans="2:11" ht="14.4" x14ac:dyDescent="0.3">
      <c r="B14"/>
      <c r="C14"/>
      <c r="D14"/>
      <c r="E14"/>
      <c r="F14"/>
      <c r="G14"/>
      <c r="H14"/>
      <c r="I14"/>
      <c r="J14"/>
      <c r="K14"/>
    </row>
    <row r="15" spans="2:11" x14ac:dyDescent="0.3">
      <c r="D15" s="55" t="s">
        <v>61</v>
      </c>
      <c r="E15" s="56"/>
      <c r="F15" s="56"/>
      <c r="G15" s="56"/>
      <c r="H15" s="56"/>
      <c r="I15" s="56"/>
      <c r="J15" s="57"/>
      <c r="K15" s="50"/>
    </row>
    <row r="16" spans="2:11" x14ac:dyDescent="0.3">
      <c r="B16" s="34" t="s">
        <v>9</v>
      </c>
      <c r="C16" s="54" t="s">
        <v>71</v>
      </c>
      <c r="D16" s="52" t="s">
        <v>55</v>
      </c>
      <c r="E16" s="52" t="s">
        <v>56</v>
      </c>
      <c r="F16" s="52" t="s">
        <v>37</v>
      </c>
      <c r="G16" s="52" t="s">
        <v>57</v>
      </c>
      <c r="H16" s="52" t="s">
        <v>58</v>
      </c>
      <c r="I16" s="52" t="s">
        <v>59</v>
      </c>
      <c r="J16" s="52" t="s">
        <v>60</v>
      </c>
      <c r="K16" s="34" t="s">
        <v>38</v>
      </c>
    </row>
    <row r="17" spans="2:11" x14ac:dyDescent="0.3">
      <c r="B17" s="2" t="s">
        <v>15</v>
      </c>
      <c r="C17" s="2" t="s">
        <v>4</v>
      </c>
      <c r="D17" s="32">
        <v>14373421.069996141</v>
      </c>
      <c r="E17" s="32">
        <v>27137261.900009174</v>
      </c>
      <c r="F17" s="32">
        <v>32319263.290005449</v>
      </c>
      <c r="G17" s="32">
        <v>4633285.2500004563</v>
      </c>
      <c r="H17" s="32">
        <v>4461480.7600000165</v>
      </c>
      <c r="I17" s="32">
        <v>957142.22000008624</v>
      </c>
      <c r="J17" s="32">
        <v>8482118.2700005025</v>
      </c>
      <c r="K17" s="32">
        <f>SUM(D17:J17)</f>
        <v>92363972.760011837</v>
      </c>
    </row>
    <row r="18" spans="2:11" x14ac:dyDescent="0.3">
      <c r="B18" s="2" t="s">
        <v>16</v>
      </c>
      <c r="C18" s="2" t="s">
        <v>2</v>
      </c>
      <c r="D18" s="32">
        <v>144758.11318313866</v>
      </c>
      <c r="E18" s="32">
        <v>244779.76707717034</v>
      </c>
      <c r="F18" s="32">
        <v>351900.11522485426</v>
      </c>
      <c r="G18" s="32">
        <v>39298.017538507011</v>
      </c>
      <c r="H18" s="32">
        <v>65726.183769092851</v>
      </c>
      <c r="I18" s="32">
        <v>2876.1485312480404</v>
      </c>
      <c r="J18" s="32">
        <v>105118.2443471599</v>
      </c>
      <c r="K18" s="32">
        <f t="shared" ref="K18:K27" si="2">SUM(D18:J18)</f>
        <v>954456.58967117115</v>
      </c>
    </row>
    <row r="19" spans="2:11" x14ac:dyDescent="0.3">
      <c r="B19" s="2" t="s">
        <v>17</v>
      </c>
      <c r="C19" s="2" t="s">
        <v>36</v>
      </c>
      <c r="D19" s="32">
        <v>51691.0583325525</v>
      </c>
      <c r="E19" s="32">
        <v>97593.591743256795</v>
      </c>
      <c r="F19" s="32">
        <v>116229.59599201688</v>
      </c>
      <c r="G19" s="32">
        <v>16662.659290561853</v>
      </c>
      <c r="H19" s="32">
        <v>16044.799709940136</v>
      </c>
      <c r="I19" s="32">
        <v>3442.1655140856833</v>
      </c>
      <c r="J19" s="32">
        <v>30504.197166633414</v>
      </c>
      <c r="K19" s="32">
        <f t="shared" si="2"/>
        <v>332168.0677490473</v>
      </c>
    </row>
    <row r="20" spans="2:11" x14ac:dyDescent="0.3">
      <c r="B20" s="2" t="s">
        <v>18</v>
      </c>
      <c r="C20" s="2" t="s">
        <v>0</v>
      </c>
      <c r="D20" s="32">
        <v>0</v>
      </c>
      <c r="E20" s="32">
        <v>0</v>
      </c>
      <c r="F20" s="32">
        <v>0</v>
      </c>
      <c r="G20" s="32">
        <v>0</v>
      </c>
      <c r="H20" s="32">
        <v>0</v>
      </c>
      <c r="I20" s="32">
        <v>0</v>
      </c>
      <c r="J20" s="32">
        <v>0</v>
      </c>
      <c r="K20" s="32">
        <f t="shared" si="2"/>
        <v>0</v>
      </c>
    </row>
    <row r="21" spans="2:11" x14ac:dyDescent="0.3">
      <c r="B21" s="2" t="s">
        <v>20</v>
      </c>
      <c r="C21" s="44" t="s">
        <v>54</v>
      </c>
      <c r="D21" s="32">
        <v>0</v>
      </c>
      <c r="E21" s="32">
        <v>0</v>
      </c>
      <c r="F21" s="32">
        <v>0</v>
      </c>
      <c r="G21" s="32">
        <v>0</v>
      </c>
      <c r="H21" s="32">
        <v>0</v>
      </c>
      <c r="I21" s="32">
        <v>0</v>
      </c>
      <c r="J21" s="32">
        <v>0</v>
      </c>
      <c r="K21" s="32">
        <f t="shared" si="2"/>
        <v>0</v>
      </c>
    </row>
    <row r="22" spans="2:11" ht="15" x14ac:dyDescent="0.3">
      <c r="B22" s="2" t="s">
        <v>21</v>
      </c>
      <c r="C22" s="110" t="s">
        <v>123</v>
      </c>
      <c r="D22" s="7"/>
      <c r="E22" s="7"/>
      <c r="F22" s="7"/>
      <c r="G22" s="7"/>
      <c r="H22" s="7"/>
      <c r="I22" s="7"/>
      <c r="J22" s="7"/>
      <c r="K22" s="7"/>
    </row>
    <row r="23" spans="2:11" x14ac:dyDescent="0.3">
      <c r="B23" s="123" t="s">
        <v>137</v>
      </c>
      <c r="C23" s="124" t="s">
        <v>138</v>
      </c>
      <c r="D23" s="32">
        <v>594510.78998191736</v>
      </c>
      <c r="E23" s="32">
        <v>857339.94126536069</v>
      </c>
      <c r="F23" s="32">
        <v>1525564.8068601149</v>
      </c>
      <c r="G23" s="32">
        <v>138286.17035628771</v>
      </c>
      <c r="H23" s="32">
        <v>154436.01884804634</v>
      </c>
      <c r="I23" s="32">
        <v>25159.615933953461</v>
      </c>
      <c r="J23" s="32">
        <v>453495.30203311646</v>
      </c>
      <c r="K23" s="32">
        <f t="shared" ref="K23:K24" si="3">SUM(D23:J23)</f>
        <v>3748792.6452787966</v>
      </c>
    </row>
    <row r="24" spans="2:11" x14ac:dyDescent="0.3">
      <c r="B24" s="123" t="s">
        <v>139</v>
      </c>
      <c r="C24" s="124" t="s">
        <v>140</v>
      </c>
      <c r="D24" s="32">
        <v>34421.413021043605</v>
      </c>
      <c r="E24" s="32">
        <v>49638.8841296385</v>
      </c>
      <c r="F24" s="32">
        <v>88328.247682262983</v>
      </c>
      <c r="G24" s="32">
        <v>8006.592084017444</v>
      </c>
      <c r="H24" s="32">
        <v>8941.6476196436524</v>
      </c>
      <c r="I24" s="32">
        <v>1456.7095267350539</v>
      </c>
      <c r="J24" s="32">
        <v>26256.796945366808</v>
      </c>
      <c r="K24" s="32">
        <f t="shared" si="3"/>
        <v>217050.29100870807</v>
      </c>
    </row>
    <row r="25" spans="2:11" x14ac:dyDescent="0.3">
      <c r="B25" s="2" t="s">
        <v>25</v>
      </c>
      <c r="C25" s="44" t="s">
        <v>142</v>
      </c>
      <c r="D25" s="32">
        <v>0</v>
      </c>
      <c r="E25" s="32">
        <v>0</v>
      </c>
      <c r="F25" s="32">
        <v>0</v>
      </c>
      <c r="G25" s="32">
        <v>0</v>
      </c>
      <c r="H25" s="32">
        <v>0</v>
      </c>
      <c r="I25" s="32">
        <v>0</v>
      </c>
      <c r="J25" s="32">
        <v>0</v>
      </c>
      <c r="K25" s="32">
        <f t="shared" si="2"/>
        <v>0</v>
      </c>
    </row>
    <row r="26" spans="2:11" x14ac:dyDescent="0.3">
      <c r="B26" s="2" t="s">
        <v>22</v>
      </c>
      <c r="C26" s="44" t="s">
        <v>5</v>
      </c>
      <c r="D26" s="32">
        <v>0</v>
      </c>
      <c r="E26" s="32">
        <v>0</v>
      </c>
      <c r="F26" s="32">
        <v>0</v>
      </c>
      <c r="G26" s="32">
        <v>0</v>
      </c>
      <c r="H26" s="32">
        <v>0</v>
      </c>
      <c r="I26" s="32">
        <v>0</v>
      </c>
      <c r="J26" s="32">
        <v>0</v>
      </c>
      <c r="K26" s="32">
        <f t="shared" si="2"/>
        <v>0</v>
      </c>
    </row>
    <row r="27" spans="2:11" ht="14.4" thickBot="1" x14ac:dyDescent="0.35">
      <c r="B27" s="68" t="s">
        <v>19</v>
      </c>
      <c r="C27" s="68" t="s">
        <v>3</v>
      </c>
      <c r="D27" s="65">
        <v>0</v>
      </c>
      <c r="E27" s="65">
        <v>0</v>
      </c>
      <c r="F27" s="65">
        <v>0</v>
      </c>
      <c r="G27" s="65">
        <v>0</v>
      </c>
      <c r="H27" s="65">
        <v>0</v>
      </c>
      <c r="I27" s="65">
        <v>0</v>
      </c>
      <c r="J27" s="65">
        <v>0</v>
      </c>
      <c r="K27" s="65">
        <f t="shared" si="2"/>
        <v>0</v>
      </c>
    </row>
    <row r="28" spans="2:11" ht="28.2" thickTop="1" x14ac:dyDescent="0.3">
      <c r="B28" s="62" t="s">
        <v>23</v>
      </c>
      <c r="C28" s="67" t="s">
        <v>141</v>
      </c>
      <c r="D28" s="63">
        <f>SUM(D17:D21,D23:D27)</f>
        <v>15198802.444514792</v>
      </c>
      <c r="E28" s="63">
        <f t="shared" ref="E28:K28" si="4">SUM(E17:E21,E23:E27)</f>
        <v>28386614.0842246</v>
      </c>
      <c r="F28" s="63">
        <f t="shared" si="4"/>
        <v>34401286.055764697</v>
      </c>
      <c r="G28" s="63">
        <f t="shared" si="4"/>
        <v>4835538.6892698305</v>
      </c>
      <c r="H28" s="63">
        <f t="shared" si="4"/>
        <v>4706629.4099467397</v>
      </c>
      <c r="I28" s="63">
        <f t="shared" si="4"/>
        <v>990076.85950610845</v>
      </c>
      <c r="J28" s="63">
        <f t="shared" si="4"/>
        <v>9097492.8104927801</v>
      </c>
      <c r="K28" s="63">
        <f t="shared" si="4"/>
        <v>97616440.353719562</v>
      </c>
    </row>
    <row r="30" spans="2:11" x14ac:dyDescent="0.3">
      <c r="D30" s="34" t="s">
        <v>61</v>
      </c>
      <c r="E30" s="34"/>
      <c r="F30" s="34"/>
      <c r="G30" s="34"/>
      <c r="H30" s="34"/>
      <c r="I30" s="34"/>
      <c r="J30" s="34"/>
      <c r="K30" s="50"/>
    </row>
    <row r="31" spans="2:11" x14ac:dyDescent="0.3">
      <c r="B31" s="34" t="s">
        <v>9</v>
      </c>
      <c r="C31" s="54" t="s">
        <v>73</v>
      </c>
      <c r="D31" s="52" t="s">
        <v>55</v>
      </c>
      <c r="E31" s="52" t="s">
        <v>56</v>
      </c>
      <c r="F31" s="52" t="s">
        <v>37</v>
      </c>
      <c r="G31" s="52" t="s">
        <v>57</v>
      </c>
      <c r="H31" s="52" t="s">
        <v>58</v>
      </c>
      <c r="I31" s="52" t="s">
        <v>59</v>
      </c>
      <c r="J31" s="52" t="s">
        <v>60</v>
      </c>
      <c r="K31" s="34" t="s">
        <v>38</v>
      </c>
    </row>
    <row r="32" spans="2:11" x14ac:dyDescent="0.3">
      <c r="B32" s="126" t="s">
        <v>24</v>
      </c>
      <c r="C32" s="126" t="s">
        <v>144</v>
      </c>
      <c r="D32" s="58">
        <v>419414</v>
      </c>
      <c r="E32" s="58">
        <v>919270</v>
      </c>
      <c r="F32" s="58">
        <v>799655</v>
      </c>
      <c r="G32" s="58">
        <v>162108</v>
      </c>
      <c r="H32" s="58">
        <v>35310</v>
      </c>
      <c r="I32" s="58">
        <v>55746</v>
      </c>
      <c r="J32" s="58">
        <v>171737</v>
      </c>
      <c r="K32" s="60">
        <f>SUM(D32:J32)</f>
        <v>2563240</v>
      </c>
    </row>
    <row r="35" spans="2:11" ht="12.75" customHeight="1" x14ac:dyDescent="0.3">
      <c r="B35" s="155" t="s">
        <v>163</v>
      </c>
      <c r="C35" s="156"/>
      <c r="D35" s="156"/>
      <c r="E35" s="156"/>
      <c r="F35" s="156"/>
      <c r="G35" s="156"/>
      <c r="H35" s="156"/>
      <c r="I35" s="156"/>
      <c r="J35" s="156"/>
      <c r="K35" s="156"/>
    </row>
    <row r="36" spans="2:11" x14ac:dyDescent="0.3">
      <c r="B36" s="157" t="s">
        <v>199</v>
      </c>
      <c r="C36" s="158"/>
      <c r="D36" s="158"/>
      <c r="E36" s="158"/>
      <c r="F36" s="158"/>
      <c r="G36" s="158"/>
      <c r="H36" s="158"/>
      <c r="I36" s="158"/>
      <c r="J36" s="158"/>
      <c r="K36" s="159"/>
    </row>
    <row r="37" spans="2:11" x14ac:dyDescent="0.3">
      <c r="B37" s="160"/>
      <c r="C37" s="161"/>
      <c r="D37" s="161"/>
      <c r="E37" s="161"/>
      <c r="F37" s="161"/>
      <c r="G37" s="161"/>
      <c r="H37" s="161"/>
      <c r="I37" s="161"/>
      <c r="J37" s="161"/>
      <c r="K37" s="162"/>
    </row>
    <row r="38" spans="2:11" x14ac:dyDescent="0.3">
      <c r="B38" s="160"/>
      <c r="C38" s="161"/>
      <c r="D38" s="161"/>
      <c r="E38" s="161"/>
      <c r="F38" s="161"/>
      <c r="G38" s="161"/>
      <c r="H38" s="161"/>
      <c r="I38" s="161"/>
      <c r="J38" s="161"/>
      <c r="K38" s="162"/>
    </row>
    <row r="39" spans="2:11" x14ac:dyDescent="0.3">
      <c r="B39" s="160"/>
      <c r="C39" s="161"/>
      <c r="D39" s="161"/>
      <c r="E39" s="161"/>
      <c r="F39" s="161"/>
      <c r="G39" s="161"/>
      <c r="H39" s="161"/>
      <c r="I39" s="161"/>
      <c r="J39" s="161"/>
      <c r="K39" s="162"/>
    </row>
    <row r="40" spans="2:11" x14ac:dyDescent="0.3">
      <c r="B40" s="160"/>
      <c r="C40" s="161"/>
      <c r="D40" s="161"/>
      <c r="E40" s="161"/>
      <c r="F40" s="161"/>
      <c r="G40" s="161"/>
      <c r="H40" s="161"/>
      <c r="I40" s="161"/>
      <c r="J40" s="161"/>
      <c r="K40" s="162"/>
    </row>
    <row r="41" spans="2:11" x14ac:dyDescent="0.3">
      <c r="B41" s="163"/>
      <c r="C41" s="164"/>
      <c r="D41" s="164"/>
      <c r="E41" s="164"/>
      <c r="F41" s="164"/>
      <c r="G41" s="164"/>
      <c r="H41" s="164"/>
      <c r="I41" s="164"/>
      <c r="J41" s="164"/>
      <c r="K41" s="165"/>
    </row>
  </sheetData>
  <protectedRanges>
    <protectedRange sqref="B36:G41" name="Range1"/>
  </protectedRanges>
  <mergeCells count="2">
    <mergeCell ref="B35:K35"/>
    <mergeCell ref="B36:K41"/>
  </mergeCells>
  <printOptions horizontalCentered="1"/>
  <pageMargins left="0.7" right="0.7" top="0.75" bottom="0.75" header="0.3" footer="0.3"/>
  <pageSetup scale="55" fitToWidth="3" orientation="landscape" r:id="rId1"/>
  <headerFooter>
    <oddHeader>&amp;LState of Colorado&amp;RDraft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5"/>
  <sheetViews>
    <sheetView zoomScaleNormal="100" zoomScaleSheetLayoutView="70" workbookViewId="0"/>
  </sheetViews>
  <sheetFormatPr defaultColWidth="8.77734375" defaultRowHeight="13.8" x14ac:dyDescent="0.3"/>
  <cols>
    <col min="1" max="1" width="2.21875" style="8" customWidth="1"/>
    <col min="2" max="2" width="11" style="8" bestFit="1" customWidth="1"/>
    <col min="3" max="3" width="23.21875" style="8" bestFit="1" customWidth="1"/>
    <col min="4" max="5" width="15.21875" style="8" customWidth="1"/>
    <col min="6" max="8" width="9.21875" style="8" customWidth="1"/>
    <col min="9" max="9" width="2.21875" style="8" customWidth="1"/>
    <col min="10" max="10" width="11" style="8" bestFit="1" customWidth="1"/>
    <col min="11" max="11" width="18.21875" style="8" bestFit="1" customWidth="1"/>
    <col min="12" max="16" width="13" style="8" customWidth="1"/>
    <col min="17" max="17" width="2.21875" style="8" customWidth="1"/>
    <col min="18" max="16384" width="8.77734375" style="8"/>
  </cols>
  <sheetData>
    <row r="2" spans="2:16" x14ac:dyDescent="0.3">
      <c r="B2" s="12" t="s">
        <v>105</v>
      </c>
      <c r="C2" s="13" t="str">
        <f>Overview!$C$11</f>
        <v>CCHA</v>
      </c>
    </row>
    <row r="3" spans="2:16" x14ac:dyDescent="0.3">
      <c r="B3" s="12" t="s">
        <v>114</v>
      </c>
      <c r="C3" s="13">
        <f>Overview!C12</f>
        <v>7</v>
      </c>
    </row>
    <row r="4" spans="2:16" x14ac:dyDescent="0.3">
      <c r="B4" s="12" t="s">
        <v>27</v>
      </c>
      <c r="C4" s="14" t="s">
        <v>112</v>
      </c>
    </row>
    <row r="5" spans="2:16" x14ac:dyDescent="0.3">
      <c r="B5" s="12" t="s">
        <v>28</v>
      </c>
      <c r="C5" s="13" t="str">
        <f>Overview!C13</f>
        <v>July 1, 2021 - June 30, 2022</v>
      </c>
    </row>
    <row r="6" spans="2:16" x14ac:dyDescent="0.3">
      <c r="B6" s="12"/>
      <c r="C6" s="13"/>
    </row>
    <row r="7" spans="2:16" ht="14.4" x14ac:dyDescent="0.3">
      <c r="B7" s="90" t="s">
        <v>159</v>
      </c>
    </row>
    <row r="8" spans="2:16" x14ac:dyDescent="0.3">
      <c r="B8" s="12"/>
    </row>
    <row r="9" spans="2:16" x14ac:dyDescent="0.3">
      <c r="B9" s="12"/>
      <c r="C9" s="76" t="s">
        <v>90</v>
      </c>
    </row>
    <row r="10" spans="2:16" x14ac:dyDescent="0.3">
      <c r="B10" s="12"/>
      <c r="C10" s="71"/>
    </row>
    <row r="11" spans="2:16" x14ac:dyDescent="0.3">
      <c r="B11" s="12"/>
      <c r="C11" s="13"/>
      <c r="J11" s="12"/>
      <c r="K11" s="13"/>
    </row>
    <row r="12" spans="2:16" x14ac:dyDescent="0.3">
      <c r="C12" s="51"/>
      <c r="D12" s="34" t="s">
        <v>76</v>
      </c>
      <c r="E12" s="34"/>
      <c r="F12" s="34"/>
      <c r="G12" s="34"/>
      <c r="H12" s="34"/>
      <c r="K12" s="51"/>
      <c r="L12" s="34" t="s">
        <v>111</v>
      </c>
      <c r="M12" s="34"/>
      <c r="N12" s="34"/>
      <c r="O12" s="34"/>
      <c r="P12" s="34"/>
    </row>
    <row r="13" spans="2:16" x14ac:dyDescent="0.3">
      <c r="B13" s="34" t="s">
        <v>153</v>
      </c>
      <c r="C13" s="52" t="s">
        <v>64</v>
      </c>
      <c r="D13" s="54" t="s">
        <v>77</v>
      </c>
      <c r="E13" s="54" t="s">
        <v>78</v>
      </c>
      <c r="F13" s="54" t="s">
        <v>79</v>
      </c>
      <c r="G13" s="52" t="s">
        <v>62</v>
      </c>
      <c r="H13" s="52" t="s">
        <v>63</v>
      </c>
      <c r="J13" s="34" t="str">
        <f>B13</f>
        <v>JUL'21</v>
      </c>
      <c r="K13" s="52" t="s">
        <v>64</v>
      </c>
      <c r="L13" s="54" t="s">
        <v>77</v>
      </c>
      <c r="M13" s="54" t="s">
        <v>78</v>
      </c>
      <c r="N13" s="54" t="s">
        <v>79</v>
      </c>
      <c r="O13" s="52" t="s">
        <v>62</v>
      </c>
      <c r="P13" s="52" t="s">
        <v>63</v>
      </c>
    </row>
    <row r="14" spans="2:16" ht="14.4" x14ac:dyDescent="0.3">
      <c r="B14"/>
      <c r="C14" s="9" t="s">
        <v>65</v>
      </c>
      <c r="D14" s="59">
        <v>0</v>
      </c>
      <c r="E14" s="59">
        <v>0</v>
      </c>
      <c r="F14" s="59">
        <v>1</v>
      </c>
      <c r="G14" s="59">
        <v>122</v>
      </c>
      <c r="H14" s="59">
        <v>171</v>
      </c>
      <c r="J14"/>
      <c r="K14" s="9" t="s">
        <v>65</v>
      </c>
      <c r="L14" s="71">
        <v>0</v>
      </c>
      <c r="M14" s="71">
        <v>0</v>
      </c>
      <c r="N14" s="71">
        <v>275</v>
      </c>
      <c r="O14" s="71">
        <v>41299.010000000017</v>
      </c>
      <c r="P14" s="71">
        <v>153153.57999999999</v>
      </c>
    </row>
    <row r="15" spans="2:16" ht="14.4" x14ac:dyDescent="0.3">
      <c r="B15"/>
      <c r="C15" s="9" t="s">
        <v>66</v>
      </c>
      <c r="D15" s="59">
        <v>106</v>
      </c>
      <c r="E15" s="59">
        <v>145</v>
      </c>
      <c r="F15" s="59">
        <v>0</v>
      </c>
      <c r="G15" s="59">
        <v>0</v>
      </c>
      <c r="H15" s="59">
        <v>0</v>
      </c>
      <c r="J15"/>
      <c r="K15" s="9" t="s">
        <v>66</v>
      </c>
      <c r="L15" s="71">
        <v>20703.919999999962</v>
      </c>
      <c r="M15" s="71">
        <v>37451.519999999924</v>
      </c>
      <c r="N15" s="71">
        <v>0</v>
      </c>
      <c r="O15" s="71">
        <v>0</v>
      </c>
      <c r="P15" s="71">
        <v>0</v>
      </c>
    </row>
    <row r="16" spans="2:16" ht="15" thickBot="1" x14ac:dyDescent="0.35">
      <c r="B16"/>
      <c r="C16" s="11" t="s">
        <v>67</v>
      </c>
      <c r="D16" s="69">
        <v>0</v>
      </c>
      <c r="E16" s="69">
        <v>0</v>
      </c>
      <c r="F16" s="69">
        <v>0</v>
      </c>
      <c r="G16" s="69">
        <v>0</v>
      </c>
      <c r="H16" s="69">
        <v>0</v>
      </c>
      <c r="J16"/>
      <c r="K16" s="11" t="s">
        <v>67</v>
      </c>
      <c r="L16" s="72">
        <v>0</v>
      </c>
      <c r="M16" s="72">
        <v>0</v>
      </c>
      <c r="N16" s="72">
        <v>0</v>
      </c>
      <c r="O16" s="72">
        <v>0</v>
      </c>
      <c r="P16" s="72">
        <v>0</v>
      </c>
    </row>
    <row r="17" spans="2:16" ht="15" thickTop="1" x14ac:dyDescent="0.3">
      <c r="B17"/>
      <c r="C17" s="66" t="s">
        <v>38</v>
      </c>
      <c r="D17" s="70">
        <f>SUM(D14:D16)</f>
        <v>106</v>
      </c>
      <c r="E17" s="70">
        <f t="shared" ref="E17:H17" si="0">SUM(E14:E16)</f>
        <v>145</v>
      </c>
      <c r="F17" s="70">
        <f t="shared" si="0"/>
        <v>1</v>
      </c>
      <c r="G17" s="70">
        <f t="shared" si="0"/>
        <v>122</v>
      </c>
      <c r="H17" s="70">
        <f t="shared" si="0"/>
        <v>171</v>
      </c>
      <c r="J17"/>
      <c r="K17" s="66" t="s">
        <v>38</v>
      </c>
      <c r="L17" s="73">
        <f>SUM(L14:L16)</f>
        <v>20703.919999999962</v>
      </c>
      <c r="M17" s="73">
        <f t="shared" ref="M17:P17" si="1">SUM(M14:M16)</f>
        <v>37451.519999999924</v>
      </c>
      <c r="N17" s="73">
        <f t="shared" si="1"/>
        <v>275</v>
      </c>
      <c r="O17" s="73">
        <f t="shared" si="1"/>
        <v>41299.010000000017</v>
      </c>
      <c r="P17" s="73">
        <f t="shared" si="1"/>
        <v>153153.57999999999</v>
      </c>
    </row>
    <row r="18" spans="2:16" ht="14.4" x14ac:dyDescent="0.3">
      <c r="B18"/>
      <c r="C18"/>
      <c r="D18"/>
      <c r="E18"/>
      <c r="F18"/>
      <c r="G18"/>
      <c r="H18"/>
      <c r="J18"/>
      <c r="K18"/>
    </row>
    <row r="19" spans="2:16" x14ac:dyDescent="0.3">
      <c r="C19" s="51"/>
      <c r="D19" s="34" t="s">
        <v>76</v>
      </c>
      <c r="E19" s="34"/>
      <c r="F19" s="34"/>
      <c r="G19" s="34"/>
      <c r="H19" s="34"/>
      <c r="K19" s="51"/>
      <c r="L19" s="34" t="s">
        <v>111</v>
      </c>
      <c r="M19" s="34"/>
      <c r="N19" s="34"/>
      <c r="O19" s="34"/>
      <c r="P19" s="34"/>
    </row>
    <row r="20" spans="2:16" x14ac:dyDescent="0.3">
      <c r="B20" s="34" t="s">
        <v>154</v>
      </c>
      <c r="C20" s="52" t="s">
        <v>64</v>
      </c>
      <c r="D20" s="54" t="s">
        <v>77</v>
      </c>
      <c r="E20" s="54" t="s">
        <v>78</v>
      </c>
      <c r="F20" s="54" t="s">
        <v>79</v>
      </c>
      <c r="G20" s="52" t="s">
        <v>62</v>
      </c>
      <c r="H20" s="52" t="s">
        <v>63</v>
      </c>
      <c r="J20" s="34" t="str">
        <f>B20</f>
        <v>AUG'21</v>
      </c>
      <c r="K20" s="52" t="s">
        <v>64</v>
      </c>
      <c r="L20" s="54" t="s">
        <v>77</v>
      </c>
      <c r="M20" s="54" t="s">
        <v>78</v>
      </c>
      <c r="N20" s="54" t="s">
        <v>79</v>
      </c>
      <c r="O20" s="52" t="s">
        <v>62</v>
      </c>
      <c r="P20" s="52" t="s">
        <v>63</v>
      </c>
    </row>
    <row r="21" spans="2:16" ht="12.75" customHeight="1" x14ac:dyDescent="0.3">
      <c r="B21"/>
      <c r="C21" s="9" t="s">
        <v>65</v>
      </c>
      <c r="D21" s="59">
        <v>0</v>
      </c>
      <c r="E21" s="59">
        <v>0</v>
      </c>
      <c r="F21" s="59">
        <v>18</v>
      </c>
      <c r="G21" s="59">
        <v>40</v>
      </c>
      <c r="H21" s="59">
        <v>222</v>
      </c>
      <c r="J21"/>
      <c r="K21" s="9" t="s">
        <v>65</v>
      </c>
      <c r="L21" s="71">
        <v>0</v>
      </c>
      <c r="M21" s="71">
        <v>0</v>
      </c>
      <c r="N21" s="71">
        <v>12384.36</v>
      </c>
      <c r="O21" s="71">
        <v>12871.670000000002</v>
      </c>
      <c r="P21" s="71">
        <v>210865.42000000007</v>
      </c>
    </row>
    <row r="22" spans="2:16" ht="14.4" x14ac:dyDescent="0.3">
      <c r="B22"/>
      <c r="C22" s="9" t="s">
        <v>66</v>
      </c>
      <c r="D22" s="59">
        <v>113</v>
      </c>
      <c r="E22" s="59">
        <v>160</v>
      </c>
      <c r="F22" s="59">
        <v>0</v>
      </c>
      <c r="G22" s="59">
        <v>0</v>
      </c>
      <c r="H22" s="59">
        <v>0</v>
      </c>
      <c r="J22"/>
      <c r="K22" s="9" t="s">
        <v>66</v>
      </c>
      <c r="L22" s="71">
        <v>22059.009999999987</v>
      </c>
      <c r="M22" s="71">
        <v>35187.649999999965</v>
      </c>
      <c r="N22" s="71">
        <v>0</v>
      </c>
      <c r="O22" s="71">
        <v>0</v>
      </c>
      <c r="P22" s="71">
        <v>0</v>
      </c>
    </row>
    <row r="23" spans="2:16" ht="15" thickBot="1" x14ac:dyDescent="0.35">
      <c r="B23"/>
      <c r="C23" s="11" t="s">
        <v>67</v>
      </c>
      <c r="D23" s="69">
        <v>0</v>
      </c>
      <c r="E23" s="69">
        <v>0</v>
      </c>
      <c r="F23" s="69">
        <v>0</v>
      </c>
      <c r="G23" s="69">
        <v>0</v>
      </c>
      <c r="H23" s="69">
        <v>0</v>
      </c>
      <c r="J23"/>
      <c r="K23" s="11" t="s">
        <v>67</v>
      </c>
      <c r="L23" s="72">
        <v>0</v>
      </c>
      <c r="M23" s="72">
        <v>0</v>
      </c>
      <c r="N23" s="72">
        <v>0</v>
      </c>
      <c r="O23" s="72">
        <v>0</v>
      </c>
      <c r="P23" s="72">
        <v>0</v>
      </c>
    </row>
    <row r="24" spans="2:16" ht="15" thickTop="1" x14ac:dyDescent="0.3">
      <c r="B24"/>
      <c r="C24" s="66" t="s">
        <v>38</v>
      </c>
      <c r="D24" s="70">
        <f>SUM(D21:D23)</f>
        <v>113</v>
      </c>
      <c r="E24" s="70">
        <f t="shared" ref="E24:H24" si="2">SUM(E21:E23)</f>
        <v>160</v>
      </c>
      <c r="F24" s="70">
        <f t="shared" si="2"/>
        <v>18</v>
      </c>
      <c r="G24" s="70">
        <f t="shared" si="2"/>
        <v>40</v>
      </c>
      <c r="H24" s="70">
        <f t="shared" si="2"/>
        <v>222</v>
      </c>
      <c r="J24"/>
      <c r="K24" s="66" t="s">
        <v>38</v>
      </c>
      <c r="L24" s="73">
        <f>SUM(L21:L23)</f>
        <v>22059.009999999987</v>
      </c>
      <c r="M24" s="73">
        <f t="shared" ref="M24:P24" si="3">SUM(M21:M23)</f>
        <v>35187.649999999965</v>
      </c>
      <c r="N24" s="73">
        <f t="shared" si="3"/>
        <v>12384.36</v>
      </c>
      <c r="O24" s="73">
        <f t="shared" si="3"/>
        <v>12871.670000000002</v>
      </c>
      <c r="P24" s="73">
        <f t="shared" si="3"/>
        <v>210865.42000000007</v>
      </c>
    </row>
    <row r="25" spans="2:16" ht="14.4" x14ac:dyDescent="0.3">
      <c r="B25"/>
      <c r="C25"/>
      <c r="D25"/>
      <c r="E25"/>
      <c r="F25"/>
      <c r="G25"/>
      <c r="H25"/>
      <c r="J25"/>
      <c r="K25"/>
      <c r="L25"/>
      <c r="M25"/>
    </row>
    <row r="26" spans="2:16" x14ac:dyDescent="0.3">
      <c r="C26" s="51"/>
      <c r="D26" s="34" t="s">
        <v>76</v>
      </c>
      <c r="E26" s="34"/>
      <c r="F26" s="34"/>
      <c r="G26" s="34"/>
      <c r="H26" s="34"/>
      <c r="K26" s="51"/>
      <c r="L26" s="34" t="s">
        <v>111</v>
      </c>
      <c r="M26" s="34"/>
      <c r="N26" s="34"/>
      <c r="O26" s="34"/>
      <c r="P26" s="34"/>
    </row>
    <row r="27" spans="2:16" x14ac:dyDescent="0.3">
      <c r="B27" s="34" t="s">
        <v>155</v>
      </c>
      <c r="C27" s="52" t="s">
        <v>64</v>
      </c>
      <c r="D27" s="54" t="s">
        <v>77</v>
      </c>
      <c r="E27" s="54" t="s">
        <v>78</v>
      </c>
      <c r="F27" s="54" t="s">
        <v>79</v>
      </c>
      <c r="G27" s="52" t="s">
        <v>62</v>
      </c>
      <c r="H27" s="52" t="s">
        <v>63</v>
      </c>
      <c r="J27" s="34" t="str">
        <f>B27</f>
        <v>SEP'21</v>
      </c>
      <c r="K27" s="52" t="s">
        <v>64</v>
      </c>
      <c r="L27" s="54" t="s">
        <v>77</v>
      </c>
      <c r="M27" s="54" t="s">
        <v>78</v>
      </c>
      <c r="N27" s="54" t="s">
        <v>79</v>
      </c>
      <c r="O27" s="52" t="s">
        <v>62</v>
      </c>
      <c r="P27" s="52" t="s">
        <v>63</v>
      </c>
    </row>
    <row r="28" spans="2:16" ht="14.4" x14ac:dyDescent="0.3">
      <c r="B28"/>
      <c r="C28" s="9" t="s">
        <v>65</v>
      </c>
      <c r="D28" s="59">
        <v>0</v>
      </c>
      <c r="E28" s="59">
        <v>0</v>
      </c>
      <c r="F28" s="59">
        <v>0</v>
      </c>
      <c r="G28" s="59">
        <v>40</v>
      </c>
      <c r="H28" s="59">
        <v>196</v>
      </c>
      <c r="J28"/>
      <c r="K28" s="9" t="s">
        <v>65</v>
      </c>
      <c r="L28" s="71">
        <v>0</v>
      </c>
      <c r="M28" s="71">
        <v>0</v>
      </c>
      <c r="N28" s="71">
        <v>0</v>
      </c>
      <c r="O28" s="71">
        <v>13719.930000000004</v>
      </c>
      <c r="P28" s="71">
        <v>183297.20000000004</v>
      </c>
    </row>
    <row r="29" spans="2:16" ht="14.4" x14ac:dyDescent="0.3">
      <c r="B29"/>
      <c r="C29" s="9" t="s">
        <v>66</v>
      </c>
      <c r="D29" s="59">
        <v>126</v>
      </c>
      <c r="E29" s="59">
        <v>138</v>
      </c>
      <c r="F29" s="59">
        <v>0</v>
      </c>
      <c r="G29" s="59">
        <v>0</v>
      </c>
      <c r="H29" s="59">
        <v>0</v>
      </c>
      <c r="J29"/>
      <c r="K29" s="9" t="s">
        <v>66</v>
      </c>
      <c r="L29" s="71">
        <v>24609.87000000001</v>
      </c>
      <c r="M29" s="71">
        <v>38647.999999999985</v>
      </c>
      <c r="N29" s="71">
        <v>0</v>
      </c>
      <c r="O29" s="71">
        <v>0</v>
      </c>
      <c r="P29" s="71">
        <v>0</v>
      </c>
    </row>
    <row r="30" spans="2:16" ht="15" thickBot="1" x14ac:dyDescent="0.35">
      <c r="B30"/>
      <c r="C30" s="11" t="s">
        <v>67</v>
      </c>
      <c r="D30" s="69">
        <v>0</v>
      </c>
      <c r="E30" s="69">
        <v>0</v>
      </c>
      <c r="F30" s="69">
        <v>0</v>
      </c>
      <c r="G30" s="69">
        <v>0</v>
      </c>
      <c r="H30" s="69">
        <v>0</v>
      </c>
      <c r="J30"/>
      <c r="K30" s="11" t="s">
        <v>67</v>
      </c>
      <c r="L30" s="72">
        <v>0</v>
      </c>
      <c r="M30" s="72">
        <v>0</v>
      </c>
      <c r="N30" s="72">
        <v>0</v>
      </c>
      <c r="O30" s="72">
        <v>0</v>
      </c>
      <c r="P30" s="72">
        <v>0</v>
      </c>
    </row>
    <row r="31" spans="2:16" ht="15" thickTop="1" x14ac:dyDescent="0.3">
      <c r="B31"/>
      <c r="C31" s="66" t="s">
        <v>38</v>
      </c>
      <c r="D31" s="70">
        <f>SUM(D28:D30)</f>
        <v>126</v>
      </c>
      <c r="E31" s="70">
        <f t="shared" ref="E31:H31" si="4">SUM(E28:E30)</f>
        <v>138</v>
      </c>
      <c r="F31" s="70">
        <f t="shared" si="4"/>
        <v>0</v>
      </c>
      <c r="G31" s="70">
        <f t="shared" si="4"/>
        <v>40</v>
      </c>
      <c r="H31" s="70">
        <f t="shared" si="4"/>
        <v>196</v>
      </c>
      <c r="J31"/>
      <c r="K31" s="66" t="s">
        <v>38</v>
      </c>
      <c r="L31" s="73">
        <f>SUM(L28:L30)</f>
        <v>24609.87000000001</v>
      </c>
      <c r="M31" s="73">
        <f t="shared" ref="M31:P31" si="5">SUM(M28:M30)</f>
        <v>38647.999999999985</v>
      </c>
      <c r="N31" s="73">
        <f t="shared" si="5"/>
        <v>0</v>
      </c>
      <c r="O31" s="73">
        <f t="shared" si="5"/>
        <v>13719.930000000004</v>
      </c>
      <c r="P31" s="73">
        <f t="shared" si="5"/>
        <v>183297.20000000004</v>
      </c>
    </row>
    <row r="32" spans="2:16" ht="14.4" x14ac:dyDescent="0.3">
      <c r="B32"/>
      <c r="C32"/>
      <c r="D32"/>
      <c r="E32"/>
      <c r="F32"/>
      <c r="G32"/>
      <c r="H32"/>
      <c r="J32"/>
      <c r="K32"/>
      <c r="L32"/>
      <c r="M32"/>
    </row>
    <row r="33" spans="2:16" x14ac:dyDescent="0.3">
      <c r="C33" s="51"/>
      <c r="D33" s="34" t="s">
        <v>76</v>
      </c>
      <c r="E33" s="34"/>
      <c r="F33" s="34"/>
      <c r="G33" s="34"/>
      <c r="H33" s="34"/>
      <c r="K33" s="51"/>
      <c r="L33" s="34" t="s">
        <v>111</v>
      </c>
      <c r="M33" s="34"/>
      <c r="N33" s="34"/>
      <c r="O33" s="34"/>
      <c r="P33" s="34"/>
    </row>
    <row r="34" spans="2:16" x14ac:dyDescent="0.3">
      <c r="B34" s="34" t="s">
        <v>156</v>
      </c>
      <c r="C34" s="52" t="s">
        <v>64</v>
      </c>
      <c r="D34" s="54" t="s">
        <v>77</v>
      </c>
      <c r="E34" s="54" t="s">
        <v>78</v>
      </c>
      <c r="F34" s="54" t="s">
        <v>79</v>
      </c>
      <c r="G34" s="52" t="s">
        <v>62</v>
      </c>
      <c r="H34" s="52" t="s">
        <v>63</v>
      </c>
      <c r="J34" s="34" t="str">
        <f>B34</f>
        <v>OCT'21</v>
      </c>
      <c r="K34" s="52" t="s">
        <v>64</v>
      </c>
      <c r="L34" s="54" t="s">
        <v>77</v>
      </c>
      <c r="M34" s="54" t="s">
        <v>78</v>
      </c>
      <c r="N34" s="54" t="s">
        <v>79</v>
      </c>
      <c r="O34" s="52" t="s">
        <v>62</v>
      </c>
      <c r="P34" s="52" t="s">
        <v>63</v>
      </c>
    </row>
    <row r="35" spans="2:16" ht="14.4" x14ac:dyDescent="0.3">
      <c r="B35"/>
      <c r="C35" s="9" t="s">
        <v>65</v>
      </c>
      <c r="D35" s="59">
        <v>0</v>
      </c>
      <c r="E35" s="59">
        <v>0</v>
      </c>
      <c r="F35" s="59">
        <v>14</v>
      </c>
      <c r="G35" s="59">
        <v>112</v>
      </c>
      <c r="H35" s="59">
        <v>72</v>
      </c>
      <c r="J35"/>
      <c r="K35" s="9" t="s">
        <v>65</v>
      </c>
      <c r="L35" s="71">
        <v>0</v>
      </c>
      <c r="M35" s="71">
        <v>0</v>
      </c>
      <c r="N35" s="71">
        <v>9632.2800000000007</v>
      </c>
      <c r="O35" s="71">
        <v>39454.35000000002</v>
      </c>
      <c r="P35" s="71">
        <v>65726.200000000012</v>
      </c>
    </row>
    <row r="36" spans="2:16" ht="14.4" x14ac:dyDescent="0.3">
      <c r="B36"/>
      <c r="C36" s="9" t="s">
        <v>66</v>
      </c>
      <c r="D36" s="59">
        <v>135</v>
      </c>
      <c r="E36" s="59">
        <v>256</v>
      </c>
      <c r="F36" s="59">
        <v>0</v>
      </c>
      <c r="G36" s="59">
        <v>0</v>
      </c>
      <c r="H36" s="59">
        <v>0</v>
      </c>
      <c r="J36"/>
      <c r="K36" s="9" t="s">
        <v>66</v>
      </c>
      <c r="L36" s="71">
        <v>26368.199999999903</v>
      </c>
      <c r="M36" s="71">
        <v>72285.550000000105</v>
      </c>
      <c r="N36" s="71">
        <v>0</v>
      </c>
      <c r="O36" s="71">
        <v>0</v>
      </c>
      <c r="P36" s="71">
        <v>0</v>
      </c>
    </row>
    <row r="37" spans="2:16" ht="15" thickBot="1" x14ac:dyDescent="0.35">
      <c r="B37"/>
      <c r="C37" s="11" t="s">
        <v>67</v>
      </c>
      <c r="D37" s="69">
        <v>0</v>
      </c>
      <c r="E37" s="69">
        <v>0</v>
      </c>
      <c r="F37" s="69">
        <v>0</v>
      </c>
      <c r="G37" s="69">
        <v>0</v>
      </c>
      <c r="H37" s="69">
        <v>0</v>
      </c>
      <c r="J37"/>
      <c r="K37" s="11" t="s">
        <v>67</v>
      </c>
      <c r="L37" s="72">
        <v>0</v>
      </c>
      <c r="M37" s="72">
        <v>0</v>
      </c>
      <c r="N37" s="72">
        <v>0</v>
      </c>
      <c r="O37" s="72">
        <v>0</v>
      </c>
      <c r="P37" s="72">
        <v>0</v>
      </c>
    </row>
    <row r="38" spans="2:16" ht="15" thickTop="1" x14ac:dyDescent="0.3">
      <c r="B38"/>
      <c r="C38" s="66" t="s">
        <v>38</v>
      </c>
      <c r="D38" s="70">
        <f>SUM(D35:D37)</f>
        <v>135</v>
      </c>
      <c r="E38" s="70">
        <f t="shared" ref="E38:H38" si="6">SUM(E35:E37)</f>
        <v>256</v>
      </c>
      <c r="F38" s="70">
        <f t="shared" si="6"/>
        <v>14</v>
      </c>
      <c r="G38" s="70">
        <f t="shared" si="6"/>
        <v>112</v>
      </c>
      <c r="H38" s="70">
        <f t="shared" si="6"/>
        <v>72</v>
      </c>
      <c r="J38"/>
      <c r="K38" s="66" t="s">
        <v>38</v>
      </c>
      <c r="L38" s="73">
        <f>SUM(L35:L37)</f>
        <v>26368.199999999903</v>
      </c>
      <c r="M38" s="73">
        <f t="shared" ref="M38:P38" si="7">SUM(M35:M37)</f>
        <v>72285.550000000105</v>
      </c>
      <c r="N38" s="73">
        <f t="shared" si="7"/>
        <v>9632.2800000000007</v>
      </c>
      <c r="O38" s="73">
        <f t="shared" si="7"/>
        <v>39454.35000000002</v>
      </c>
      <c r="P38" s="73">
        <f t="shared" si="7"/>
        <v>65726.200000000012</v>
      </c>
    </row>
    <row r="39" spans="2:16" ht="14.4" x14ac:dyDescent="0.3">
      <c r="B39"/>
      <c r="C39"/>
      <c r="D39"/>
      <c r="E39"/>
      <c r="F39"/>
      <c r="G39"/>
      <c r="H39"/>
      <c r="J39"/>
      <c r="K39"/>
      <c r="L39"/>
      <c r="M39"/>
    </row>
    <row r="40" spans="2:16" x14ac:dyDescent="0.3">
      <c r="C40" s="51"/>
      <c r="D40" s="34" t="s">
        <v>76</v>
      </c>
      <c r="E40" s="34"/>
      <c r="F40" s="34"/>
      <c r="G40" s="34"/>
      <c r="H40" s="34"/>
      <c r="K40" s="51"/>
      <c r="L40" s="34" t="s">
        <v>111</v>
      </c>
      <c r="M40" s="34"/>
      <c r="N40" s="34"/>
      <c r="O40" s="34"/>
      <c r="P40" s="34"/>
    </row>
    <row r="41" spans="2:16" x14ac:dyDescent="0.3">
      <c r="B41" s="34" t="s">
        <v>157</v>
      </c>
      <c r="C41" s="52" t="s">
        <v>64</v>
      </c>
      <c r="D41" s="54" t="s">
        <v>77</v>
      </c>
      <c r="E41" s="54" t="s">
        <v>78</v>
      </c>
      <c r="F41" s="54" t="s">
        <v>79</v>
      </c>
      <c r="G41" s="52" t="s">
        <v>62</v>
      </c>
      <c r="H41" s="52" t="s">
        <v>63</v>
      </c>
      <c r="J41" s="34" t="str">
        <f>B41</f>
        <v>NOV'21</v>
      </c>
      <c r="K41" s="52" t="s">
        <v>64</v>
      </c>
      <c r="L41" s="54" t="s">
        <v>77</v>
      </c>
      <c r="M41" s="54" t="s">
        <v>78</v>
      </c>
      <c r="N41" s="54" t="s">
        <v>79</v>
      </c>
      <c r="O41" s="52" t="s">
        <v>62</v>
      </c>
      <c r="P41" s="52" t="s">
        <v>63</v>
      </c>
    </row>
    <row r="42" spans="2:16" ht="14.4" x14ac:dyDescent="0.3">
      <c r="B42"/>
      <c r="C42" s="9" t="s">
        <v>65</v>
      </c>
      <c r="D42" s="59">
        <v>0</v>
      </c>
      <c r="E42" s="59">
        <v>0</v>
      </c>
      <c r="F42" s="59">
        <v>6</v>
      </c>
      <c r="G42" s="59">
        <v>74</v>
      </c>
      <c r="H42" s="59">
        <v>91</v>
      </c>
      <c r="J42"/>
      <c r="K42" s="9" t="s">
        <v>65</v>
      </c>
      <c r="L42" s="71">
        <v>0</v>
      </c>
      <c r="M42" s="71">
        <v>0</v>
      </c>
      <c r="N42" s="71">
        <v>4137.66</v>
      </c>
      <c r="O42" s="71">
        <v>25927.350000000006</v>
      </c>
      <c r="P42" s="71">
        <v>87403.160000000018</v>
      </c>
    </row>
    <row r="43" spans="2:16" ht="14.4" x14ac:dyDescent="0.3">
      <c r="B43"/>
      <c r="C43" s="9" t="s">
        <v>66</v>
      </c>
      <c r="D43" s="59">
        <v>76</v>
      </c>
      <c r="E43" s="59">
        <v>270</v>
      </c>
      <c r="F43" s="59">
        <v>0</v>
      </c>
      <c r="G43" s="59">
        <v>0</v>
      </c>
      <c r="H43" s="59">
        <v>0</v>
      </c>
      <c r="J43"/>
      <c r="K43" s="9" t="s">
        <v>66</v>
      </c>
      <c r="L43" s="71">
        <v>14235.879999999983</v>
      </c>
      <c r="M43" s="71">
        <v>75339.690000000104</v>
      </c>
      <c r="N43" s="71">
        <v>0</v>
      </c>
      <c r="O43" s="71">
        <v>0</v>
      </c>
      <c r="P43" s="71">
        <v>0</v>
      </c>
    </row>
    <row r="44" spans="2:16" ht="15" thickBot="1" x14ac:dyDescent="0.35">
      <c r="B44"/>
      <c r="C44" s="11" t="s">
        <v>67</v>
      </c>
      <c r="D44" s="69">
        <v>0</v>
      </c>
      <c r="E44" s="69">
        <v>0</v>
      </c>
      <c r="F44" s="69">
        <v>0</v>
      </c>
      <c r="G44" s="69">
        <v>0</v>
      </c>
      <c r="H44" s="69">
        <v>0</v>
      </c>
      <c r="J44"/>
      <c r="K44" s="11" t="s">
        <v>67</v>
      </c>
      <c r="L44" s="72">
        <v>0</v>
      </c>
      <c r="M44" s="72">
        <v>0</v>
      </c>
      <c r="N44" s="72">
        <v>0</v>
      </c>
      <c r="O44" s="72">
        <v>0</v>
      </c>
      <c r="P44" s="72">
        <v>0</v>
      </c>
    </row>
    <row r="45" spans="2:16" ht="15" thickTop="1" x14ac:dyDescent="0.3">
      <c r="B45"/>
      <c r="C45" s="66" t="s">
        <v>38</v>
      </c>
      <c r="D45" s="70">
        <f>SUM(D42:D44)</f>
        <v>76</v>
      </c>
      <c r="E45" s="70">
        <f t="shared" ref="E45:H45" si="8">SUM(E42:E44)</f>
        <v>270</v>
      </c>
      <c r="F45" s="70">
        <f t="shared" si="8"/>
        <v>6</v>
      </c>
      <c r="G45" s="70">
        <f t="shared" si="8"/>
        <v>74</v>
      </c>
      <c r="H45" s="70">
        <f t="shared" si="8"/>
        <v>91</v>
      </c>
      <c r="J45"/>
      <c r="K45" s="66" t="s">
        <v>38</v>
      </c>
      <c r="L45" s="73">
        <f>SUM(L42:L44)</f>
        <v>14235.879999999983</v>
      </c>
      <c r="M45" s="73">
        <f t="shared" ref="M45:P45" si="9">SUM(M42:M44)</f>
        <v>75339.690000000104</v>
      </c>
      <c r="N45" s="73">
        <f t="shared" si="9"/>
        <v>4137.66</v>
      </c>
      <c r="O45" s="73">
        <f t="shared" si="9"/>
        <v>25927.350000000006</v>
      </c>
      <c r="P45" s="73">
        <f t="shared" si="9"/>
        <v>87403.160000000018</v>
      </c>
    </row>
    <row r="46" spans="2:16" ht="14.4" x14ac:dyDescent="0.3">
      <c r="B46"/>
      <c r="C46"/>
      <c r="D46"/>
      <c r="E46"/>
      <c r="F46"/>
      <c r="G46"/>
      <c r="H46"/>
      <c r="J46"/>
      <c r="K46"/>
      <c r="L46"/>
      <c r="M46"/>
    </row>
    <row r="47" spans="2:16" x14ac:dyDescent="0.3">
      <c r="C47" s="51"/>
      <c r="D47" s="34" t="s">
        <v>76</v>
      </c>
      <c r="E47" s="34"/>
      <c r="F47" s="34"/>
      <c r="G47" s="34"/>
      <c r="H47" s="34"/>
      <c r="K47" s="51"/>
      <c r="L47" s="34" t="s">
        <v>111</v>
      </c>
      <c r="M47" s="34"/>
      <c r="N47" s="34"/>
      <c r="O47" s="34"/>
      <c r="P47" s="34"/>
    </row>
    <row r="48" spans="2:16" x14ac:dyDescent="0.3">
      <c r="B48" s="34" t="s">
        <v>158</v>
      </c>
      <c r="C48" s="52" t="s">
        <v>64</v>
      </c>
      <c r="D48" s="54" t="s">
        <v>77</v>
      </c>
      <c r="E48" s="54" t="s">
        <v>78</v>
      </c>
      <c r="F48" s="54" t="s">
        <v>79</v>
      </c>
      <c r="G48" s="52" t="s">
        <v>62</v>
      </c>
      <c r="H48" s="52" t="s">
        <v>63</v>
      </c>
      <c r="J48" s="34" t="str">
        <f>B48</f>
        <v>DEC'21</v>
      </c>
      <c r="K48" s="52" t="s">
        <v>64</v>
      </c>
      <c r="L48" s="54" t="s">
        <v>77</v>
      </c>
      <c r="M48" s="54" t="s">
        <v>78</v>
      </c>
      <c r="N48" s="54" t="s">
        <v>79</v>
      </c>
      <c r="O48" s="52" t="s">
        <v>62</v>
      </c>
      <c r="P48" s="52" t="s">
        <v>63</v>
      </c>
    </row>
    <row r="49" spans="2:16" ht="14.4" x14ac:dyDescent="0.3">
      <c r="B49"/>
      <c r="C49" s="9" t="s">
        <v>65</v>
      </c>
      <c r="D49" s="59">
        <v>0</v>
      </c>
      <c r="E49" s="59">
        <v>0</v>
      </c>
      <c r="F49" s="59">
        <v>15</v>
      </c>
      <c r="G49" s="59">
        <v>107</v>
      </c>
      <c r="H49" s="59">
        <v>100</v>
      </c>
      <c r="J49"/>
      <c r="K49" s="9" t="s">
        <v>65</v>
      </c>
      <c r="L49" s="71">
        <v>0</v>
      </c>
      <c r="M49" s="71">
        <v>0</v>
      </c>
      <c r="N49" s="71">
        <v>12483.42</v>
      </c>
      <c r="O49" s="71">
        <v>37204.440000000039</v>
      </c>
      <c r="P49" s="71">
        <v>85177.05</v>
      </c>
    </row>
    <row r="50" spans="2:16" ht="14.4" x14ac:dyDescent="0.3">
      <c r="B50"/>
      <c r="C50" s="9" t="s">
        <v>66</v>
      </c>
      <c r="D50" s="59">
        <v>47</v>
      </c>
      <c r="E50" s="59">
        <v>314</v>
      </c>
      <c r="F50" s="59">
        <v>0</v>
      </c>
      <c r="G50" s="59">
        <v>0</v>
      </c>
      <c r="H50" s="59">
        <v>0</v>
      </c>
      <c r="J50"/>
      <c r="K50" s="9" t="s">
        <v>66</v>
      </c>
      <c r="L50" s="71">
        <v>8352.4799999999977</v>
      </c>
      <c r="M50" s="71">
        <v>80049.399999999951</v>
      </c>
      <c r="N50" s="71">
        <v>0</v>
      </c>
      <c r="O50" s="71">
        <v>0</v>
      </c>
      <c r="P50" s="71">
        <v>0</v>
      </c>
    </row>
    <row r="51" spans="2:16" ht="15" thickBot="1" x14ac:dyDescent="0.35">
      <c r="B51"/>
      <c r="C51" s="11" t="s">
        <v>67</v>
      </c>
      <c r="D51" s="69">
        <v>0</v>
      </c>
      <c r="E51" s="69">
        <v>0</v>
      </c>
      <c r="F51" s="69">
        <v>0</v>
      </c>
      <c r="G51" s="69">
        <v>0</v>
      </c>
      <c r="H51" s="69">
        <v>0</v>
      </c>
      <c r="J51"/>
      <c r="K51" s="11" t="s">
        <v>67</v>
      </c>
      <c r="L51" s="72">
        <v>0</v>
      </c>
      <c r="M51" s="72">
        <v>0</v>
      </c>
      <c r="N51" s="72">
        <v>0</v>
      </c>
      <c r="O51" s="72">
        <v>0</v>
      </c>
      <c r="P51" s="72">
        <v>0</v>
      </c>
    </row>
    <row r="52" spans="2:16" ht="15" thickTop="1" x14ac:dyDescent="0.3">
      <c r="B52"/>
      <c r="C52" s="66" t="s">
        <v>38</v>
      </c>
      <c r="D52" s="70">
        <f>SUM(D49:D51)</f>
        <v>47</v>
      </c>
      <c r="E52" s="70">
        <f t="shared" ref="E52:H52" si="10">SUM(E49:E51)</f>
        <v>314</v>
      </c>
      <c r="F52" s="70">
        <f t="shared" si="10"/>
        <v>15</v>
      </c>
      <c r="G52" s="70">
        <f t="shared" si="10"/>
        <v>107</v>
      </c>
      <c r="H52" s="70">
        <f t="shared" si="10"/>
        <v>100</v>
      </c>
      <c r="J52"/>
      <c r="K52" s="66" t="s">
        <v>38</v>
      </c>
      <c r="L52" s="73">
        <f>SUM(L49:L51)</f>
        <v>8352.4799999999977</v>
      </c>
      <c r="M52" s="73">
        <f t="shared" ref="M52:P52" si="11">SUM(M49:M51)</f>
        <v>80049.399999999951</v>
      </c>
      <c r="N52" s="73">
        <f t="shared" si="11"/>
        <v>12483.42</v>
      </c>
      <c r="O52" s="73">
        <f t="shared" si="11"/>
        <v>37204.440000000039</v>
      </c>
      <c r="P52" s="73">
        <f t="shared" si="11"/>
        <v>85177.05</v>
      </c>
    </row>
    <row r="53" spans="2:16" ht="14.4" x14ac:dyDescent="0.3">
      <c r="B53"/>
      <c r="C53" s="127"/>
      <c r="D53" s="128"/>
      <c r="E53" s="128"/>
      <c r="F53" s="128"/>
      <c r="G53" s="128"/>
      <c r="H53" s="128"/>
      <c r="J53"/>
      <c r="K53" s="127"/>
      <c r="L53" s="129"/>
      <c r="M53" s="129"/>
      <c r="N53" s="129"/>
      <c r="O53" s="129"/>
      <c r="P53" s="129"/>
    </row>
    <row r="54" spans="2:16" x14ac:dyDescent="0.3">
      <c r="C54" s="51"/>
      <c r="D54" s="34" t="s">
        <v>76</v>
      </c>
      <c r="E54" s="34"/>
      <c r="F54" s="34"/>
      <c r="G54" s="34"/>
      <c r="H54" s="34"/>
      <c r="K54" s="51"/>
      <c r="L54" s="34" t="s">
        <v>111</v>
      </c>
      <c r="M54" s="34"/>
      <c r="N54" s="34"/>
      <c r="O54" s="34"/>
      <c r="P54" s="34"/>
    </row>
    <row r="55" spans="2:16" x14ac:dyDescent="0.3">
      <c r="B55" s="34" t="s">
        <v>147</v>
      </c>
      <c r="C55" s="52" t="s">
        <v>64</v>
      </c>
      <c r="D55" s="54" t="s">
        <v>77</v>
      </c>
      <c r="E55" s="54" t="s">
        <v>78</v>
      </c>
      <c r="F55" s="54" t="s">
        <v>79</v>
      </c>
      <c r="G55" s="52" t="s">
        <v>62</v>
      </c>
      <c r="H55" s="52" t="s">
        <v>63</v>
      </c>
      <c r="J55" s="34" t="str">
        <f>B55</f>
        <v>JAN'22</v>
      </c>
      <c r="K55" s="52" t="s">
        <v>64</v>
      </c>
      <c r="L55" s="54" t="s">
        <v>77</v>
      </c>
      <c r="M55" s="54" t="s">
        <v>78</v>
      </c>
      <c r="N55" s="54" t="s">
        <v>79</v>
      </c>
      <c r="O55" s="52" t="s">
        <v>62</v>
      </c>
      <c r="P55" s="52" t="s">
        <v>63</v>
      </c>
    </row>
    <row r="56" spans="2:16" ht="14.4" x14ac:dyDescent="0.3">
      <c r="B56"/>
      <c r="C56" s="9" t="s">
        <v>65</v>
      </c>
      <c r="D56" s="59">
        <v>0</v>
      </c>
      <c r="E56" s="59">
        <v>0</v>
      </c>
      <c r="F56" s="59">
        <v>30</v>
      </c>
      <c r="G56" s="59">
        <v>405</v>
      </c>
      <c r="H56" s="59">
        <v>83</v>
      </c>
      <c r="J56"/>
      <c r="K56" s="9" t="s">
        <v>65</v>
      </c>
      <c r="L56" s="71">
        <v>0</v>
      </c>
      <c r="M56" s="71">
        <v>0</v>
      </c>
      <c r="N56" s="71">
        <v>24966.84</v>
      </c>
      <c r="O56" s="71">
        <v>144638.28000000032</v>
      </c>
      <c r="P56" s="71">
        <v>74029.33</v>
      </c>
    </row>
    <row r="57" spans="2:16" ht="14.4" x14ac:dyDescent="0.3">
      <c r="B57"/>
      <c r="C57" s="9" t="s">
        <v>66</v>
      </c>
      <c r="D57" s="59">
        <v>51</v>
      </c>
      <c r="E57" s="59">
        <v>319</v>
      </c>
      <c r="F57" s="59">
        <v>9</v>
      </c>
      <c r="G57" s="59">
        <v>0</v>
      </c>
      <c r="H57" s="59">
        <v>0</v>
      </c>
      <c r="J57"/>
      <c r="K57" s="9" t="s">
        <v>66</v>
      </c>
      <c r="L57" s="71">
        <v>9961.3199999999906</v>
      </c>
      <c r="M57" s="71">
        <v>91917.059999999736</v>
      </c>
      <c r="N57" s="71">
        <v>5260.9500000000007</v>
      </c>
      <c r="O57" s="71">
        <v>0</v>
      </c>
      <c r="P57" s="71">
        <v>0</v>
      </c>
    </row>
    <row r="58" spans="2:16" ht="15" thickBot="1" x14ac:dyDescent="0.35">
      <c r="B58"/>
      <c r="C58" s="11" t="s">
        <v>67</v>
      </c>
      <c r="D58" s="69">
        <v>0</v>
      </c>
      <c r="E58" s="69">
        <v>0</v>
      </c>
      <c r="F58" s="69">
        <v>0</v>
      </c>
      <c r="G58" s="69">
        <v>0</v>
      </c>
      <c r="H58" s="69">
        <v>0</v>
      </c>
      <c r="J58"/>
      <c r="K58" s="11" t="s">
        <v>67</v>
      </c>
      <c r="L58" s="72">
        <v>0</v>
      </c>
      <c r="M58" s="72">
        <v>0</v>
      </c>
      <c r="N58" s="72">
        <v>0</v>
      </c>
      <c r="O58" s="72">
        <v>0</v>
      </c>
      <c r="P58" s="72">
        <v>0</v>
      </c>
    </row>
    <row r="59" spans="2:16" ht="15" thickTop="1" x14ac:dyDescent="0.3">
      <c r="B59"/>
      <c r="C59" s="66" t="s">
        <v>38</v>
      </c>
      <c r="D59" s="70">
        <f>SUM(D56:D58)</f>
        <v>51</v>
      </c>
      <c r="E59" s="70">
        <f t="shared" ref="E59:H59" si="12">SUM(E56:E58)</f>
        <v>319</v>
      </c>
      <c r="F59" s="70">
        <f t="shared" si="12"/>
        <v>39</v>
      </c>
      <c r="G59" s="70">
        <f t="shared" si="12"/>
        <v>405</v>
      </c>
      <c r="H59" s="70">
        <f t="shared" si="12"/>
        <v>83</v>
      </c>
      <c r="J59"/>
      <c r="K59" s="66" t="s">
        <v>38</v>
      </c>
      <c r="L59" s="73">
        <f>SUM(L56:L58)</f>
        <v>9961.3199999999906</v>
      </c>
      <c r="M59" s="73">
        <f t="shared" ref="M59:P59" si="13">SUM(M56:M58)</f>
        <v>91917.059999999736</v>
      </c>
      <c r="N59" s="73">
        <f t="shared" si="13"/>
        <v>30227.79</v>
      </c>
      <c r="O59" s="73">
        <f t="shared" si="13"/>
        <v>144638.28000000032</v>
      </c>
      <c r="P59" s="73">
        <f t="shared" si="13"/>
        <v>74029.33</v>
      </c>
    </row>
    <row r="60" spans="2:16" ht="14.4" x14ac:dyDescent="0.3">
      <c r="B60"/>
      <c r="C60"/>
      <c r="D60"/>
      <c r="E60"/>
      <c r="F60"/>
      <c r="G60"/>
      <c r="H60"/>
      <c r="J60"/>
      <c r="K60"/>
    </row>
    <row r="61" spans="2:16" x14ac:dyDescent="0.3">
      <c r="C61" s="51"/>
      <c r="D61" s="34" t="s">
        <v>76</v>
      </c>
      <c r="E61" s="34"/>
      <c r="F61" s="34"/>
      <c r="G61" s="34"/>
      <c r="H61" s="34"/>
      <c r="K61" s="51"/>
      <c r="L61" s="34" t="s">
        <v>111</v>
      </c>
      <c r="M61" s="34"/>
      <c r="N61" s="34"/>
      <c r="O61" s="34"/>
      <c r="P61" s="34"/>
    </row>
    <row r="62" spans="2:16" x14ac:dyDescent="0.3">
      <c r="B62" s="34" t="s">
        <v>148</v>
      </c>
      <c r="C62" s="52" t="s">
        <v>64</v>
      </c>
      <c r="D62" s="54" t="s">
        <v>77</v>
      </c>
      <c r="E62" s="54" t="s">
        <v>78</v>
      </c>
      <c r="F62" s="54" t="s">
        <v>79</v>
      </c>
      <c r="G62" s="52" t="s">
        <v>62</v>
      </c>
      <c r="H62" s="52" t="s">
        <v>63</v>
      </c>
      <c r="J62" s="34" t="str">
        <f>B62</f>
        <v>FEB'22</v>
      </c>
      <c r="K62" s="52" t="s">
        <v>64</v>
      </c>
      <c r="L62" s="54" t="s">
        <v>77</v>
      </c>
      <c r="M62" s="54" t="s">
        <v>78</v>
      </c>
      <c r="N62" s="54" t="s">
        <v>79</v>
      </c>
      <c r="O62" s="52" t="s">
        <v>62</v>
      </c>
      <c r="P62" s="52" t="s">
        <v>63</v>
      </c>
    </row>
    <row r="63" spans="2:16" ht="14.4" x14ac:dyDescent="0.3">
      <c r="B63"/>
      <c r="C63" s="9" t="s">
        <v>65</v>
      </c>
      <c r="D63" s="59">
        <v>0</v>
      </c>
      <c r="E63" s="59">
        <v>0</v>
      </c>
      <c r="F63" s="59">
        <v>38</v>
      </c>
      <c r="G63" s="59">
        <v>441</v>
      </c>
      <c r="H63" s="59">
        <v>75</v>
      </c>
      <c r="J63"/>
      <c r="K63" s="9" t="s">
        <v>65</v>
      </c>
      <c r="L63" s="71">
        <v>0</v>
      </c>
      <c r="M63" s="71">
        <v>0</v>
      </c>
      <c r="N63" s="71">
        <v>29401.46</v>
      </c>
      <c r="O63" s="71">
        <v>159077.52000000043</v>
      </c>
      <c r="P63" s="71">
        <v>71274.98</v>
      </c>
    </row>
    <row r="64" spans="2:16" ht="14.4" x14ac:dyDescent="0.3">
      <c r="B64"/>
      <c r="C64" s="9" t="s">
        <v>66</v>
      </c>
      <c r="D64" s="59">
        <v>21</v>
      </c>
      <c r="E64" s="59">
        <v>277</v>
      </c>
      <c r="F64" s="59">
        <v>11</v>
      </c>
      <c r="G64" s="59">
        <v>0</v>
      </c>
      <c r="H64" s="59">
        <v>0</v>
      </c>
      <c r="J64"/>
      <c r="K64" s="9" t="s">
        <v>66</v>
      </c>
      <c r="L64" s="71">
        <v>4101.7199999999984</v>
      </c>
      <c r="M64" s="71">
        <v>80298.819999999847</v>
      </c>
      <c r="N64" s="71">
        <v>6430.0500000000011</v>
      </c>
      <c r="O64" s="71">
        <v>0</v>
      </c>
      <c r="P64" s="71">
        <v>0</v>
      </c>
    </row>
    <row r="65" spans="2:16" ht="15" thickBot="1" x14ac:dyDescent="0.35">
      <c r="B65"/>
      <c r="C65" s="11" t="s">
        <v>67</v>
      </c>
      <c r="D65" s="69">
        <v>0</v>
      </c>
      <c r="E65" s="69">
        <v>0</v>
      </c>
      <c r="F65" s="69">
        <v>0</v>
      </c>
      <c r="G65" s="69">
        <v>0</v>
      </c>
      <c r="H65" s="69">
        <v>0</v>
      </c>
      <c r="J65"/>
      <c r="K65" s="11" t="s">
        <v>67</v>
      </c>
      <c r="L65" s="72">
        <v>0</v>
      </c>
      <c r="M65" s="72">
        <v>0</v>
      </c>
      <c r="N65" s="72">
        <v>0</v>
      </c>
      <c r="O65" s="72">
        <v>0</v>
      </c>
      <c r="P65" s="72">
        <v>0</v>
      </c>
    </row>
    <row r="66" spans="2:16" ht="15" thickTop="1" x14ac:dyDescent="0.3">
      <c r="B66"/>
      <c r="C66" s="66" t="s">
        <v>38</v>
      </c>
      <c r="D66" s="70">
        <f>SUM(D63:D65)</f>
        <v>21</v>
      </c>
      <c r="E66" s="70">
        <f t="shared" ref="E66:H66" si="14">SUM(E63:E65)</f>
        <v>277</v>
      </c>
      <c r="F66" s="70">
        <f t="shared" si="14"/>
        <v>49</v>
      </c>
      <c r="G66" s="70">
        <f t="shared" si="14"/>
        <v>441</v>
      </c>
      <c r="H66" s="70">
        <f t="shared" si="14"/>
        <v>75</v>
      </c>
      <c r="J66"/>
      <c r="K66" s="66" t="s">
        <v>38</v>
      </c>
      <c r="L66" s="73">
        <f>SUM(L63:L65)</f>
        <v>4101.7199999999984</v>
      </c>
      <c r="M66" s="73">
        <f t="shared" ref="M66" si="15">SUM(M63:M65)</f>
        <v>80298.819999999847</v>
      </c>
      <c r="N66" s="73">
        <f t="shared" ref="N66" si="16">SUM(N63:N65)</f>
        <v>35831.51</v>
      </c>
      <c r="O66" s="73">
        <f t="shared" ref="O66" si="17">SUM(O63:O65)</f>
        <v>159077.52000000043</v>
      </c>
      <c r="P66" s="73">
        <f t="shared" ref="P66" si="18">SUM(P63:P65)</f>
        <v>71274.98</v>
      </c>
    </row>
    <row r="67" spans="2:16" ht="14.4" x14ac:dyDescent="0.3">
      <c r="B67"/>
      <c r="C67"/>
      <c r="D67"/>
      <c r="E67"/>
      <c r="F67"/>
      <c r="G67"/>
      <c r="H67"/>
      <c r="J67"/>
      <c r="K67"/>
    </row>
    <row r="68" spans="2:16" x14ac:dyDescent="0.3">
      <c r="C68" s="51"/>
      <c r="D68" s="34" t="s">
        <v>76</v>
      </c>
      <c r="E68" s="34"/>
      <c r="F68" s="34"/>
      <c r="G68" s="34"/>
      <c r="H68" s="34"/>
      <c r="K68" s="51"/>
      <c r="L68" s="34" t="s">
        <v>111</v>
      </c>
      <c r="M68" s="34"/>
      <c r="N68" s="34"/>
      <c r="O68" s="34"/>
      <c r="P68" s="34"/>
    </row>
    <row r="69" spans="2:16" x14ac:dyDescent="0.3">
      <c r="B69" s="34" t="s">
        <v>149</v>
      </c>
      <c r="C69" s="52" t="s">
        <v>64</v>
      </c>
      <c r="D69" s="54" t="s">
        <v>77</v>
      </c>
      <c r="E69" s="54" t="s">
        <v>78</v>
      </c>
      <c r="F69" s="54" t="s">
        <v>79</v>
      </c>
      <c r="G69" s="52" t="s">
        <v>62</v>
      </c>
      <c r="H69" s="52" t="s">
        <v>63</v>
      </c>
      <c r="J69" s="34" t="str">
        <f>B69</f>
        <v>MAR'22</v>
      </c>
      <c r="K69" s="52" t="s">
        <v>64</v>
      </c>
      <c r="L69" s="54" t="s">
        <v>77</v>
      </c>
      <c r="M69" s="54" t="s">
        <v>78</v>
      </c>
      <c r="N69" s="54" t="s">
        <v>79</v>
      </c>
      <c r="O69" s="52" t="s">
        <v>62</v>
      </c>
      <c r="P69" s="52" t="s">
        <v>63</v>
      </c>
    </row>
    <row r="70" spans="2:16" ht="12.75" customHeight="1" x14ac:dyDescent="0.3">
      <c r="B70"/>
      <c r="C70" s="9" t="s">
        <v>65</v>
      </c>
      <c r="D70" s="59">
        <v>0</v>
      </c>
      <c r="E70" s="59">
        <v>0</v>
      </c>
      <c r="F70" s="59">
        <v>19</v>
      </c>
      <c r="G70" s="59">
        <v>354</v>
      </c>
      <c r="H70" s="59">
        <v>125</v>
      </c>
      <c r="J70"/>
      <c r="K70" s="9" t="s">
        <v>65</v>
      </c>
      <c r="L70" s="71">
        <v>0</v>
      </c>
      <c r="M70" s="71">
        <v>0</v>
      </c>
      <c r="N70" s="71">
        <v>14186.63</v>
      </c>
      <c r="O70" s="71">
        <v>127694.88000000032</v>
      </c>
      <c r="P70" s="71">
        <v>110213.79000000001</v>
      </c>
    </row>
    <row r="71" spans="2:16" ht="14.4" x14ac:dyDescent="0.3">
      <c r="B71"/>
      <c r="C71" s="9" t="s">
        <v>66</v>
      </c>
      <c r="D71" s="59">
        <v>53</v>
      </c>
      <c r="E71" s="59">
        <v>407</v>
      </c>
      <c r="F71" s="59">
        <v>0</v>
      </c>
      <c r="G71" s="59">
        <v>0</v>
      </c>
      <c r="H71" s="59">
        <v>0</v>
      </c>
      <c r="J71"/>
      <c r="K71" s="9" t="s">
        <v>66</v>
      </c>
      <c r="L71" s="71">
        <v>9705.5799999999945</v>
      </c>
      <c r="M71" s="71">
        <v>118153.51999999925</v>
      </c>
      <c r="N71" s="71">
        <v>0</v>
      </c>
      <c r="O71" s="71">
        <v>0</v>
      </c>
      <c r="P71" s="71">
        <v>0</v>
      </c>
    </row>
    <row r="72" spans="2:16" ht="15" thickBot="1" x14ac:dyDescent="0.35">
      <c r="B72"/>
      <c r="C72" s="11" t="s">
        <v>67</v>
      </c>
      <c r="D72" s="69">
        <v>0</v>
      </c>
      <c r="E72" s="69">
        <v>0</v>
      </c>
      <c r="F72" s="69">
        <v>0</v>
      </c>
      <c r="G72" s="69">
        <v>0</v>
      </c>
      <c r="H72" s="69">
        <v>0</v>
      </c>
      <c r="J72"/>
      <c r="K72" s="11" t="s">
        <v>67</v>
      </c>
      <c r="L72" s="72">
        <v>0</v>
      </c>
      <c r="M72" s="72">
        <v>0</v>
      </c>
      <c r="N72" s="72">
        <v>0</v>
      </c>
      <c r="O72" s="72">
        <v>0</v>
      </c>
      <c r="P72" s="72">
        <v>0</v>
      </c>
    </row>
    <row r="73" spans="2:16" ht="15" thickTop="1" x14ac:dyDescent="0.3">
      <c r="B73"/>
      <c r="C73" s="66" t="s">
        <v>38</v>
      </c>
      <c r="D73" s="70">
        <f>SUM(D70:D72)</f>
        <v>53</v>
      </c>
      <c r="E73" s="70">
        <f t="shared" ref="E73" si="19">SUM(E70:E72)</f>
        <v>407</v>
      </c>
      <c r="F73" s="70">
        <f t="shared" ref="F73" si="20">SUM(F70:F72)</f>
        <v>19</v>
      </c>
      <c r="G73" s="70">
        <f t="shared" ref="G73" si="21">SUM(G70:G72)</f>
        <v>354</v>
      </c>
      <c r="H73" s="70">
        <f t="shared" ref="H73" si="22">SUM(H70:H72)</f>
        <v>125</v>
      </c>
      <c r="J73"/>
      <c r="K73" s="66" t="s">
        <v>38</v>
      </c>
      <c r="L73" s="73">
        <f>SUM(L70:L72)</f>
        <v>9705.5799999999945</v>
      </c>
      <c r="M73" s="73">
        <f t="shared" ref="M73" si="23">SUM(M70:M72)</f>
        <v>118153.51999999925</v>
      </c>
      <c r="N73" s="73">
        <f t="shared" ref="N73" si="24">SUM(N70:N72)</f>
        <v>14186.63</v>
      </c>
      <c r="O73" s="73">
        <f t="shared" ref="O73" si="25">SUM(O70:O72)</f>
        <v>127694.88000000032</v>
      </c>
      <c r="P73" s="73">
        <f t="shared" ref="P73" si="26">SUM(P70:P72)</f>
        <v>110213.79000000001</v>
      </c>
    </row>
    <row r="74" spans="2:16" ht="14.4" x14ac:dyDescent="0.3">
      <c r="B74"/>
      <c r="C74"/>
      <c r="D74"/>
      <c r="E74"/>
      <c r="F74"/>
      <c r="G74"/>
      <c r="H74"/>
      <c r="J74"/>
      <c r="K74"/>
      <c r="L74"/>
      <c r="M74"/>
    </row>
    <row r="75" spans="2:16" x14ac:dyDescent="0.3">
      <c r="C75" s="51"/>
      <c r="D75" s="34" t="s">
        <v>76</v>
      </c>
      <c r="E75" s="34"/>
      <c r="F75" s="34"/>
      <c r="G75" s="34"/>
      <c r="H75" s="34"/>
      <c r="K75" s="51"/>
      <c r="L75" s="34" t="s">
        <v>111</v>
      </c>
      <c r="M75" s="34"/>
      <c r="N75" s="34"/>
      <c r="O75" s="34"/>
      <c r="P75" s="34"/>
    </row>
    <row r="76" spans="2:16" x14ac:dyDescent="0.3">
      <c r="B76" s="34" t="s">
        <v>150</v>
      </c>
      <c r="C76" s="52" t="s">
        <v>64</v>
      </c>
      <c r="D76" s="54" t="s">
        <v>77</v>
      </c>
      <c r="E76" s="54" t="s">
        <v>78</v>
      </c>
      <c r="F76" s="54" t="s">
        <v>79</v>
      </c>
      <c r="G76" s="52" t="s">
        <v>62</v>
      </c>
      <c r="H76" s="52" t="s">
        <v>63</v>
      </c>
      <c r="J76" s="34" t="str">
        <f>B76</f>
        <v>APR'22</v>
      </c>
      <c r="K76" s="52" t="s">
        <v>64</v>
      </c>
      <c r="L76" s="54" t="s">
        <v>77</v>
      </c>
      <c r="M76" s="54" t="s">
        <v>78</v>
      </c>
      <c r="N76" s="54" t="s">
        <v>79</v>
      </c>
      <c r="O76" s="52" t="s">
        <v>62</v>
      </c>
      <c r="P76" s="52" t="s">
        <v>63</v>
      </c>
    </row>
    <row r="77" spans="2:16" ht="14.4" x14ac:dyDescent="0.3">
      <c r="B77"/>
      <c r="C77" s="9" t="s">
        <v>65</v>
      </c>
      <c r="D77" s="59">
        <v>0</v>
      </c>
      <c r="E77" s="59">
        <v>0</v>
      </c>
      <c r="F77" s="59">
        <v>0</v>
      </c>
      <c r="G77" s="59">
        <v>217</v>
      </c>
      <c r="H77" s="59">
        <v>183</v>
      </c>
      <c r="J77"/>
      <c r="K77" s="9" t="s">
        <v>65</v>
      </c>
      <c r="L77" s="71">
        <v>0</v>
      </c>
      <c r="M77" s="71">
        <v>0</v>
      </c>
      <c r="N77" s="71">
        <v>0</v>
      </c>
      <c r="O77" s="71">
        <v>78276.24000000018</v>
      </c>
      <c r="P77" s="71">
        <v>175793.46000000002</v>
      </c>
    </row>
    <row r="78" spans="2:16" ht="14.4" x14ac:dyDescent="0.3">
      <c r="B78"/>
      <c r="C78" s="9" t="s">
        <v>66</v>
      </c>
      <c r="D78" s="59">
        <v>116</v>
      </c>
      <c r="E78" s="59">
        <v>307</v>
      </c>
      <c r="F78" s="59">
        <v>11</v>
      </c>
      <c r="G78" s="59">
        <v>0</v>
      </c>
      <c r="H78" s="59">
        <v>0</v>
      </c>
      <c r="J78"/>
      <c r="K78" s="9" t="s">
        <v>66</v>
      </c>
      <c r="L78" s="71">
        <v>21579.819999999982</v>
      </c>
      <c r="M78" s="71">
        <v>87569.619999999981</v>
      </c>
      <c r="N78" s="71">
        <v>6430.0500000000011</v>
      </c>
      <c r="O78" s="71">
        <v>0</v>
      </c>
      <c r="P78" s="71">
        <v>0</v>
      </c>
    </row>
    <row r="79" spans="2:16" ht="15" thickBot="1" x14ac:dyDescent="0.35">
      <c r="B79"/>
      <c r="C79" s="11" t="s">
        <v>67</v>
      </c>
      <c r="D79" s="69">
        <v>0</v>
      </c>
      <c r="E79" s="69">
        <v>0</v>
      </c>
      <c r="F79" s="69">
        <v>0</v>
      </c>
      <c r="G79" s="69">
        <v>0</v>
      </c>
      <c r="H79" s="69">
        <v>0</v>
      </c>
      <c r="J79"/>
      <c r="K79" s="11" t="s">
        <v>67</v>
      </c>
      <c r="L79" s="72">
        <v>0</v>
      </c>
      <c r="M79" s="72">
        <v>0</v>
      </c>
      <c r="N79" s="72">
        <v>0</v>
      </c>
      <c r="O79" s="72">
        <v>0</v>
      </c>
      <c r="P79" s="72">
        <v>0</v>
      </c>
    </row>
    <row r="80" spans="2:16" ht="15" thickTop="1" x14ac:dyDescent="0.3">
      <c r="B80"/>
      <c r="C80" s="66" t="s">
        <v>38</v>
      </c>
      <c r="D80" s="70">
        <f>SUM(D77:D79)</f>
        <v>116</v>
      </c>
      <c r="E80" s="70">
        <f t="shared" ref="E80" si="27">SUM(E77:E79)</f>
        <v>307</v>
      </c>
      <c r="F80" s="70">
        <f t="shared" ref="F80" si="28">SUM(F77:F79)</f>
        <v>11</v>
      </c>
      <c r="G80" s="70">
        <f t="shared" ref="G80" si="29">SUM(G77:G79)</f>
        <v>217</v>
      </c>
      <c r="H80" s="70">
        <f t="shared" ref="H80" si="30">SUM(H77:H79)</f>
        <v>183</v>
      </c>
      <c r="J80"/>
      <c r="K80" s="66" t="s">
        <v>38</v>
      </c>
      <c r="L80" s="73">
        <f>SUM(L77:L79)</f>
        <v>21579.819999999982</v>
      </c>
      <c r="M80" s="73">
        <f t="shared" ref="M80" si="31">SUM(M77:M79)</f>
        <v>87569.619999999981</v>
      </c>
      <c r="N80" s="73">
        <f t="shared" ref="N80" si="32">SUM(N77:N79)</f>
        <v>6430.0500000000011</v>
      </c>
      <c r="O80" s="73">
        <f t="shared" ref="O80" si="33">SUM(O77:O79)</f>
        <v>78276.24000000018</v>
      </c>
      <c r="P80" s="73">
        <f t="shared" ref="P80" si="34">SUM(P77:P79)</f>
        <v>175793.46000000002</v>
      </c>
    </row>
    <row r="81" spans="2:16" ht="14.4" x14ac:dyDescent="0.3">
      <c r="B81"/>
      <c r="C81"/>
      <c r="D81"/>
      <c r="E81"/>
      <c r="F81"/>
      <c r="G81"/>
      <c r="H81"/>
      <c r="J81"/>
      <c r="K81"/>
      <c r="L81"/>
      <c r="M81"/>
    </row>
    <row r="82" spans="2:16" x14ac:dyDescent="0.3">
      <c r="C82" s="51"/>
      <c r="D82" s="34" t="s">
        <v>76</v>
      </c>
      <c r="E82" s="34"/>
      <c r="F82" s="34"/>
      <c r="G82" s="34"/>
      <c r="H82" s="34"/>
      <c r="K82" s="51"/>
      <c r="L82" s="34" t="s">
        <v>111</v>
      </c>
      <c r="M82" s="34"/>
      <c r="N82" s="34"/>
      <c r="O82" s="34"/>
      <c r="P82" s="34"/>
    </row>
    <row r="83" spans="2:16" x14ac:dyDescent="0.3">
      <c r="B83" s="34" t="s">
        <v>151</v>
      </c>
      <c r="C83" s="52" t="s">
        <v>64</v>
      </c>
      <c r="D83" s="54" t="s">
        <v>77</v>
      </c>
      <c r="E83" s="54" t="s">
        <v>78</v>
      </c>
      <c r="F83" s="54" t="s">
        <v>79</v>
      </c>
      <c r="G83" s="52" t="s">
        <v>62</v>
      </c>
      <c r="H83" s="52" t="s">
        <v>63</v>
      </c>
      <c r="J83" s="34" t="str">
        <f>B83</f>
        <v>MAY'22</v>
      </c>
      <c r="K83" s="52" t="s">
        <v>64</v>
      </c>
      <c r="L83" s="54" t="s">
        <v>77</v>
      </c>
      <c r="M83" s="54" t="s">
        <v>78</v>
      </c>
      <c r="N83" s="54" t="s">
        <v>79</v>
      </c>
      <c r="O83" s="52" t="s">
        <v>62</v>
      </c>
      <c r="P83" s="52" t="s">
        <v>63</v>
      </c>
    </row>
    <row r="84" spans="2:16" ht="14.4" x14ac:dyDescent="0.3">
      <c r="B84"/>
      <c r="C84" s="9" t="s">
        <v>65</v>
      </c>
      <c r="D84" s="59">
        <v>0</v>
      </c>
      <c r="E84" s="59">
        <v>0</v>
      </c>
      <c r="F84" s="59">
        <v>0</v>
      </c>
      <c r="G84" s="59">
        <v>279</v>
      </c>
      <c r="H84" s="59">
        <v>127</v>
      </c>
      <c r="J84"/>
      <c r="K84" s="9" t="s">
        <v>65</v>
      </c>
      <c r="L84" s="71">
        <v>0</v>
      </c>
      <c r="M84" s="71">
        <v>0</v>
      </c>
      <c r="N84" s="71">
        <v>0</v>
      </c>
      <c r="O84" s="71">
        <v>100640.88000000024</v>
      </c>
      <c r="P84" s="71">
        <v>119656.26000000002</v>
      </c>
    </row>
    <row r="85" spans="2:16" ht="14.4" x14ac:dyDescent="0.3">
      <c r="B85"/>
      <c r="C85" s="9" t="s">
        <v>66</v>
      </c>
      <c r="D85" s="59">
        <v>48</v>
      </c>
      <c r="E85" s="59">
        <v>288</v>
      </c>
      <c r="F85" s="59">
        <v>0</v>
      </c>
      <c r="G85" s="59">
        <v>0</v>
      </c>
      <c r="H85" s="59">
        <v>0</v>
      </c>
      <c r="J85"/>
      <c r="K85" s="9" t="s">
        <v>66</v>
      </c>
      <c r="L85" s="71">
        <v>9123.9899999999943</v>
      </c>
      <c r="M85" s="71">
        <v>82632.05999999991</v>
      </c>
      <c r="N85" s="71">
        <v>0</v>
      </c>
      <c r="O85" s="71">
        <v>0</v>
      </c>
      <c r="P85" s="71">
        <v>0</v>
      </c>
    </row>
    <row r="86" spans="2:16" ht="15" thickBot="1" x14ac:dyDescent="0.35">
      <c r="B86"/>
      <c r="C86" s="11" t="s">
        <v>67</v>
      </c>
      <c r="D86" s="69">
        <v>0</v>
      </c>
      <c r="E86" s="69">
        <v>0</v>
      </c>
      <c r="F86" s="69">
        <v>0</v>
      </c>
      <c r="G86" s="69">
        <v>0</v>
      </c>
      <c r="H86" s="69">
        <v>0</v>
      </c>
      <c r="J86"/>
      <c r="K86" s="11" t="s">
        <v>67</v>
      </c>
      <c r="L86" s="72">
        <v>0</v>
      </c>
      <c r="M86" s="72">
        <v>0</v>
      </c>
      <c r="N86" s="72">
        <v>0</v>
      </c>
      <c r="O86" s="72">
        <v>0</v>
      </c>
      <c r="P86" s="72">
        <v>0</v>
      </c>
    </row>
    <row r="87" spans="2:16" ht="15" thickTop="1" x14ac:dyDescent="0.3">
      <c r="B87"/>
      <c r="C87" s="66" t="s">
        <v>38</v>
      </c>
      <c r="D87" s="70">
        <f>SUM(D84:D86)</f>
        <v>48</v>
      </c>
      <c r="E87" s="70">
        <f t="shared" ref="E87" si="35">SUM(E84:E86)</f>
        <v>288</v>
      </c>
      <c r="F87" s="70">
        <f t="shared" ref="F87" si="36">SUM(F84:F86)</f>
        <v>0</v>
      </c>
      <c r="G87" s="70">
        <f t="shared" ref="G87" si="37">SUM(G84:G86)</f>
        <v>279</v>
      </c>
      <c r="H87" s="70">
        <f t="shared" ref="H87" si="38">SUM(H84:H86)</f>
        <v>127</v>
      </c>
      <c r="J87"/>
      <c r="K87" s="66" t="s">
        <v>38</v>
      </c>
      <c r="L87" s="73">
        <f>SUM(L84:L86)</f>
        <v>9123.9899999999943</v>
      </c>
      <c r="M87" s="73">
        <f t="shared" ref="M87" si="39">SUM(M84:M86)</f>
        <v>82632.05999999991</v>
      </c>
      <c r="N87" s="73">
        <f t="shared" ref="N87" si="40">SUM(N84:N86)</f>
        <v>0</v>
      </c>
      <c r="O87" s="73">
        <f t="shared" ref="O87" si="41">SUM(O84:O86)</f>
        <v>100640.88000000024</v>
      </c>
      <c r="P87" s="73">
        <f t="shared" ref="P87" si="42">SUM(P84:P86)</f>
        <v>119656.26000000002</v>
      </c>
    </row>
    <row r="88" spans="2:16" ht="14.4" x14ac:dyDescent="0.3">
      <c r="B88"/>
      <c r="C88"/>
      <c r="D88"/>
      <c r="E88"/>
      <c r="F88"/>
      <c r="G88"/>
      <c r="H88"/>
      <c r="J88"/>
      <c r="K88"/>
      <c r="L88"/>
      <c r="M88"/>
    </row>
    <row r="89" spans="2:16" x14ac:dyDescent="0.3">
      <c r="C89" s="51"/>
      <c r="D89" s="34" t="s">
        <v>76</v>
      </c>
      <c r="E89" s="34"/>
      <c r="F89" s="34"/>
      <c r="G89" s="34"/>
      <c r="H89" s="34"/>
      <c r="K89" s="51"/>
      <c r="L89" s="34" t="s">
        <v>111</v>
      </c>
      <c r="M89" s="34"/>
      <c r="N89" s="34"/>
      <c r="O89" s="34"/>
      <c r="P89" s="34"/>
    </row>
    <row r="90" spans="2:16" x14ac:dyDescent="0.3">
      <c r="B90" s="34" t="s">
        <v>152</v>
      </c>
      <c r="C90" s="52" t="s">
        <v>64</v>
      </c>
      <c r="D90" s="54" t="s">
        <v>77</v>
      </c>
      <c r="E90" s="54" t="s">
        <v>78</v>
      </c>
      <c r="F90" s="54" t="s">
        <v>79</v>
      </c>
      <c r="G90" s="52" t="s">
        <v>62</v>
      </c>
      <c r="H90" s="52" t="s">
        <v>63</v>
      </c>
      <c r="J90" s="34" t="str">
        <f>B90</f>
        <v>JUN'22</v>
      </c>
      <c r="K90" s="52" t="s">
        <v>64</v>
      </c>
      <c r="L90" s="54" t="s">
        <v>77</v>
      </c>
      <c r="M90" s="54" t="s">
        <v>78</v>
      </c>
      <c r="N90" s="54" t="s">
        <v>79</v>
      </c>
      <c r="O90" s="52" t="s">
        <v>62</v>
      </c>
      <c r="P90" s="52" t="s">
        <v>63</v>
      </c>
    </row>
    <row r="91" spans="2:16" ht="14.4" x14ac:dyDescent="0.3">
      <c r="B91"/>
      <c r="C91" s="9" t="s">
        <v>65</v>
      </c>
      <c r="D91" s="59">
        <v>0</v>
      </c>
      <c r="E91" s="59">
        <v>0</v>
      </c>
      <c r="F91" s="59">
        <v>28</v>
      </c>
      <c r="G91" s="59">
        <v>288</v>
      </c>
      <c r="H91" s="59">
        <v>85</v>
      </c>
      <c r="J91"/>
      <c r="K91" s="9" t="s">
        <v>65</v>
      </c>
      <c r="L91" s="71">
        <v>0</v>
      </c>
      <c r="M91" s="71">
        <v>0</v>
      </c>
      <c r="N91" s="71">
        <v>19309.080000000002</v>
      </c>
      <c r="O91" s="71">
        <v>103887.36000000025</v>
      </c>
      <c r="P91" s="71">
        <v>81652.7</v>
      </c>
    </row>
    <row r="92" spans="2:16" ht="14.4" x14ac:dyDescent="0.3">
      <c r="B92"/>
      <c r="C92" s="9" t="s">
        <v>66</v>
      </c>
      <c r="D92" s="59">
        <v>129</v>
      </c>
      <c r="E92" s="59">
        <v>332</v>
      </c>
      <c r="F92" s="59">
        <v>8</v>
      </c>
      <c r="G92" s="59">
        <v>0</v>
      </c>
      <c r="H92" s="59">
        <v>0</v>
      </c>
      <c r="J92"/>
      <c r="K92" s="9" t="s">
        <v>66</v>
      </c>
      <c r="L92" s="71">
        <v>24621.719999999976</v>
      </c>
      <c r="M92" s="71">
        <v>96284.599999999657</v>
      </c>
      <c r="N92" s="71">
        <v>4676.4000000000005</v>
      </c>
      <c r="O92" s="71">
        <v>0</v>
      </c>
      <c r="P92" s="71">
        <v>0</v>
      </c>
    </row>
    <row r="93" spans="2:16" ht="15" thickBot="1" x14ac:dyDescent="0.35">
      <c r="B93"/>
      <c r="C93" s="11" t="s">
        <v>67</v>
      </c>
      <c r="D93" s="69">
        <v>0</v>
      </c>
      <c r="E93" s="69">
        <v>0</v>
      </c>
      <c r="F93" s="69">
        <v>0</v>
      </c>
      <c r="G93" s="69">
        <v>0</v>
      </c>
      <c r="H93" s="69">
        <v>0</v>
      </c>
      <c r="J93"/>
      <c r="K93" s="11" t="s">
        <v>67</v>
      </c>
      <c r="L93" s="72">
        <v>0</v>
      </c>
      <c r="M93" s="72">
        <v>0</v>
      </c>
      <c r="N93" s="72">
        <v>0</v>
      </c>
      <c r="O93" s="72">
        <v>0</v>
      </c>
      <c r="P93" s="72">
        <v>0</v>
      </c>
    </row>
    <row r="94" spans="2:16" ht="15" thickTop="1" x14ac:dyDescent="0.3">
      <c r="B94"/>
      <c r="C94" s="66" t="s">
        <v>38</v>
      </c>
      <c r="D94" s="70">
        <f>SUM(D91:D93)</f>
        <v>129</v>
      </c>
      <c r="E94" s="70">
        <f t="shared" ref="E94" si="43">SUM(E91:E93)</f>
        <v>332</v>
      </c>
      <c r="F94" s="70">
        <f t="shared" ref="F94" si="44">SUM(F91:F93)</f>
        <v>36</v>
      </c>
      <c r="G94" s="70">
        <f t="shared" ref="G94" si="45">SUM(G91:G93)</f>
        <v>288</v>
      </c>
      <c r="H94" s="70">
        <f t="shared" ref="H94" si="46">SUM(H91:H93)</f>
        <v>85</v>
      </c>
      <c r="J94"/>
      <c r="K94" s="66" t="s">
        <v>38</v>
      </c>
      <c r="L94" s="73">
        <f>SUM(L91:L93)</f>
        <v>24621.719999999976</v>
      </c>
      <c r="M94" s="73">
        <f t="shared" ref="M94" si="47">SUM(M91:M93)</f>
        <v>96284.599999999657</v>
      </c>
      <c r="N94" s="73">
        <f t="shared" ref="N94" si="48">SUM(N91:N93)</f>
        <v>23985.480000000003</v>
      </c>
      <c r="O94" s="73">
        <f t="shared" ref="O94" si="49">SUM(O91:O93)</f>
        <v>103887.36000000025</v>
      </c>
      <c r="P94" s="73">
        <f t="shared" ref="P94" si="50">SUM(P91:P93)</f>
        <v>81652.7</v>
      </c>
    </row>
    <row r="95" spans="2:16" ht="14.4" x14ac:dyDescent="0.3">
      <c r="B95"/>
      <c r="C95"/>
      <c r="D95"/>
      <c r="E95"/>
      <c r="F95"/>
      <c r="G95"/>
      <c r="H95"/>
      <c r="J95"/>
      <c r="K95"/>
      <c r="L95"/>
      <c r="M95"/>
    </row>
  </sheetData>
  <protectedRanges>
    <protectedRange sqref="B39:G39 C46:G46 B67 B74:G74 B81:G81 B88:G88 B18 B25:G25 B32:G32" name="Range1"/>
  </protectedRanges>
  <printOptions horizontalCentered="1"/>
  <pageMargins left="0.7" right="0.7" top="0.75" bottom="0.75" header="0.3" footer="0.3"/>
  <pageSetup scale="65" fitToWidth="3" orientation="landscape" r:id="rId1"/>
  <headerFooter>
    <oddHeader>&amp;LState of Colorado&amp;RDraft and Confidential</oddHeader>
    <oddFooter>&amp;L&amp;F | &amp;A&amp;R&amp;G</oddFooter>
  </headerFooter>
  <ignoredErrors>
    <ignoredError sqref="D62:F62 L62:N62 D69:F69 L69:N69 L76:N76 D76:F76 D83:F83 L83:N83 L90:N90 D90:F90"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L59"/>
  <sheetViews>
    <sheetView zoomScaleNormal="100" zoomScaleSheetLayoutView="70" workbookViewId="0"/>
  </sheetViews>
  <sheetFormatPr defaultColWidth="8.77734375" defaultRowHeight="13.8" x14ac:dyDescent="0.3"/>
  <cols>
    <col min="1" max="1" width="2.21875" style="8" customWidth="1"/>
    <col min="2" max="2" width="12.5546875" style="8" customWidth="1"/>
    <col min="3" max="3" width="21.21875" style="8" customWidth="1"/>
    <col min="4" max="4" width="13.77734375" style="8" customWidth="1"/>
    <col min="5" max="5" width="12.33203125" style="8" customWidth="1"/>
    <col min="6" max="6" width="10.44140625" style="8" customWidth="1"/>
    <col min="7" max="7" width="13.21875" style="8" customWidth="1"/>
    <col min="8" max="8" width="11.21875" style="8" customWidth="1"/>
    <col min="9" max="9" width="12.77734375" style="8" customWidth="1"/>
    <col min="10" max="10" width="13.21875" style="8" customWidth="1"/>
    <col min="11" max="11" width="2.21875" style="8" customWidth="1"/>
    <col min="12" max="12" width="18.21875" style="8" bestFit="1" customWidth="1"/>
    <col min="13" max="18" width="14.77734375" style="8" customWidth="1"/>
    <col min="19" max="19" width="2.21875" style="8" customWidth="1"/>
    <col min="20" max="20" width="11" style="8" bestFit="1" customWidth="1"/>
    <col min="21" max="21" width="18.21875" style="8" bestFit="1" customWidth="1"/>
    <col min="22" max="27" width="13" style="8" customWidth="1"/>
    <col min="28" max="28" width="27.5546875" style="8" bestFit="1" customWidth="1"/>
    <col min="29" max="16384" width="8.77734375" style="8"/>
  </cols>
  <sheetData>
    <row r="2" spans="2:12" x14ac:dyDescent="0.3">
      <c r="B2" s="12" t="s">
        <v>105</v>
      </c>
      <c r="C2" s="13" t="str">
        <f>Overview!$C$11</f>
        <v>CCHA</v>
      </c>
    </row>
    <row r="3" spans="2:12" x14ac:dyDescent="0.3">
      <c r="B3" s="12" t="s">
        <v>114</v>
      </c>
      <c r="C3" s="13">
        <f>Overview!C12</f>
        <v>7</v>
      </c>
    </row>
    <row r="4" spans="2:12" x14ac:dyDescent="0.3">
      <c r="B4" s="12" t="s">
        <v>27</v>
      </c>
      <c r="C4" s="14" t="s">
        <v>83</v>
      </c>
    </row>
    <row r="5" spans="2:12" x14ac:dyDescent="0.3">
      <c r="B5" s="12" t="s">
        <v>28</v>
      </c>
      <c r="C5" s="13" t="str">
        <f>Overview!C13</f>
        <v>July 1, 2021 - June 30, 2022</v>
      </c>
    </row>
    <row r="6" spans="2:12" x14ac:dyDescent="0.3">
      <c r="B6" s="12"/>
      <c r="C6" s="13"/>
      <c r="L6" s="13"/>
    </row>
    <row r="7" spans="2:12" x14ac:dyDescent="0.3">
      <c r="C7" s="51"/>
      <c r="D7" s="34" t="s">
        <v>76</v>
      </c>
      <c r="E7" s="34"/>
      <c r="F7" s="34"/>
      <c r="G7" s="34"/>
      <c r="H7" s="34"/>
      <c r="I7" s="34"/>
    </row>
    <row r="8" spans="2:12" x14ac:dyDescent="0.3">
      <c r="B8" s="34" t="s">
        <v>38</v>
      </c>
      <c r="C8" s="52" t="s">
        <v>64</v>
      </c>
      <c r="D8" s="54" t="s">
        <v>77</v>
      </c>
      <c r="E8" s="54" t="s">
        <v>78</v>
      </c>
      <c r="F8" s="54" t="s">
        <v>79</v>
      </c>
      <c r="G8" s="52" t="s">
        <v>62</v>
      </c>
      <c r="H8" s="52" t="s">
        <v>63</v>
      </c>
      <c r="I8" s="52" t="s">
        <v>38</v>
      </c>
    </row>
    <row r="9" spans="2:12" x14ac:dyDescent="0.3">
      <c r="C9" s="9" t="s">
        <v>65</v>
      </c>
      <c r="D9" s="91">
        <f>SUM('Report 2. SUD RC Data'!D14,'Report 2. SUD RC Data'!D21,'Report 2. SUD RC Data'!D28,'Report 2. SUD RC Data'!D35,'Report 2. SUD RC Data'!D42,'Report 2. SUD RC Data'!D49,'Report 2. SUD RC Data'!D56,'Report 2. SUD RC Data'!D63,'Report 2. SUD RC Data'!D70,'Report 2. SUD RC Data'!D77,'Report 2. SUD RC Data'!D84,'Report 2. SUD RC Data'!D91)</f>
        <v>0</v>
      </c>
      <c r="E9" s="91">
        <f>SUM('Report 2. SUD RC Data'!E14,'Report 2. SUD RC Data'!E21,'Report 2. SUD RC Data'!E28,'Report 2. SUD RC Data'!E35,'Report 2. SUD RC Data'!E42,'Report 2. SUD RC Data'!E49,'Report 2. SUD RC Data'!E56,'Report 2. SUD RC Data'!E63,'Report 2. SUD RC Data'!E70,'Report 2. SUD RC Data'!E77,'Report 2. SUD RC Data'!E84,'Report 2. SUD RC Data'!E91)</f>
        <v>0</v>
      </c>
      <c r="F9" s="91">
        <f>SUM('Report 2. SUD RC Data'!F14,'Report 2. SUD RC Data'!F21,'Report 2. SUD RC Data'!F28,'Report 2. SUD RC Data'!F35,'Report 2. SUD RC Data'!F42,'Report 2. SUD RC Data'!F49,'Report 2. SUD RC Data'!F56,'Report 2. SUD RC Data'!F63,'Report 2. SUD RC Data'!F70,'Report 2. SUD RC Data'!F77,'Report 2. SUD RC Data'!F84,'Report 2. SUD RC Data'!F91)</f>
        <v>169</v>
      </c>
      <c r="G9" s="91">
        <f>SUM('Report 2. SUD RC Data'!G14,'Report 2. SUD RC Data'!G21,'Report 2. SUD RC Data'!G28,'Report 2. SUD RC Data'!G35,'Report 2. SUD RC Data'!G42,'Report 2. SUD RC Data'!G49,'Report 2. SUD RC Data'!G56,'Report 2. SUD RC Data'!G63,'Report 2. SUD RC Data'!G70,'Report 2. SUD RC Data'!G77,'Report 2. SUD RC Data'!G84,'Report 2. SUD RC Data'!G91)</f>
        <v>2479</v>
      </c>
      <c r="H9" s="91">
        <f>SUM('Report 2. SUD RC Data'!H14,'Report 2. SUD RC Data'!H21,'Report 2. SUD RC Data'!H28,'Report 2. SUD RC Data'!H35,'Report 2. SUD RC Data'!H42,'Report 2. SUD RC Data'!H49,'Report 2. SUD RC Data'!H56,'Report 2. SUD RC Data'!H63,'Report 2. SUD RC Data'!H70,'Report 2. SUD RC Data'!H77,'Report 2. SUD RC Data'!H84,'Report 2. SUD RC Data'!H91)</f>
        <v>1530</v>
      </c>
      <c r="I9" s="91">
        <f>SUM(D9:H9)</f>
        <v>4178</v>
      </c>
    </row>
    <row r="10" spans="2:12" x14ac:dyDescent="0.3">
      <c r="C10" s="9" t="s">
        <v>66</v>
      </c>
      <c r="D10" s="91">
        <f>SUM('Report 2. SUD RC Data'!D15,'Report 2. SUD RC Data'!D22,'Report 2. SUD RC Data'!D29,'Report 2. SUD RC Data'!D36,'Report 2. SUD RC Data'!D43,'Report 2. SUD RC Data'!D50,'Report 2. SUD RC Data'!D57,'Report 2. SUD RC Data'!D64,'Report 2. SUD RC Data'!D71,'Report 2. SUD RC Data'!D78,'Report 2. SUD RC Data'!D85,'Report 2. SUD RC Data'!D92)</f>
        <v>1021</v>
      </c>
      <c r="E10" s="91">
        <f>SUM('Report 2. SUD RC Data'!E15,'Report 2. SUD RC Data'!E22,'Report 2. SUD RC Data'!E29,'Report 2. SUD RC Data'!E36,'Report 2. SUD RC Data'!E43,'Report 2. SUD RC Data'!E50,'Report 2. SUD RC Data'!E57,'Report 2. SUD RC Data'!E64,'Report 2. SUD RC Data'!E71,'Report 2. SUD RC Data'!E78,'Report 2. SUD RC Data'!E85,'Report 2. SUD RC Data'!E92)</f>
        <v>3213</v>
      </c>
      <c r="F10" s="91">
        <f>SUM('Report 2. SUD RC Data'!F15,'Report 2. SUD RC Data'!F22,'Report 2. SUD RC Data'!F29,'Report 2. SUD RC Data'!F36,'Report 2. SUD RC Data'!F43,'Report 2. SUD RC Data'!F50,'Report 2. SUD RC Data'!F57,'Report 2. SUD RC Data'!F64,'Report 2. SUD RC Data'!F71,'Report 2. SUD RC Data'!F78,'Report 2. SUD RC Data'!F85,'Report 2. SUD RC Data'!F92)</f>
        <v>39</v>
      </c>
      <c r="G10" s="91">
        <f>SUM('Report 2. SUD RC Data'!G15,'Report 2. SUD RC Data'!G22,'Report 2. SUD RC Data'!G29,'Report 2. SUD RC Data'!G36,'Report 2. SUD RC Data'!G43,'Report 2. SUD RC Data'!G50,'Report 2. SUD RC Data'!G57,'Report 2. SUD RC Data'!G64,'Report 2. SUD RC Data'!G71,'Report 2. SUD RC Data'!G78,'Report 2. SUD RC Data'!G85,'Report 2. SUD RC Data'!G92)</f>
        <v>0</v>
      </c>
      <c r="H10" s="91">
        <f>SUM('Report 2. SUD RC Data'!H15,'Report 2. SUD RC Data'!H22,'Report 2. SUD RC Data'!H29,'Report 2. SUD RC Data'!H36,'Report 2. SUD RC Data'!H43,'Report 2. SUD RC Data'!H50,'Report 2. SUD RC Data'!H57,'Report 2. SUD RC Data'!H64,'Report 2. SUD RC Data'!H71,'Report 2. SUD RC Data'!H78,'Report 2. SUD RC Data'!H85,'Report 2. SUD RC Data'!H92)</f>
        <v>0</v>
      </c>
      <c r="I10" s="91">
        <f t="shared" ref="I10:I12" si="0">SUM(D10:H10)</f>
        <v>4273</v>
      </c>
    </row>
    <row r="11" spans="2:12" ht="14.4" thickBot="1" x14ac:dyDescent="0.35">
      <c r="C11" s="11" t="s">
        <v>67</v>
      </c>
      <c r="D11" s="92">
        <f>SUM('Report 2. SUD RC Data'!D16,'Report 2. SUD RC Data'!D23,'Report 2. SUD RC Data'!D30,'Report 2. SUD RC Data'!D37,'Report 2. SUD RC Data'!D44,'Report 2. SUD RC Data'!D51,'Report 2. SUD RC Data'!D58,'Report 2. SUD RC Data'!D65,'Report 2. SUD RC Data'!D72,'Report 2. SUD RC Data'!D79,'Report 2. SUD RC Data'!D86,'Report 2. SUD RC Data'!D93)</f>
        <v>0</v>
      </c>
      <c r="E11" s="92">
        <f>SUM('Report 2. SUD RC Data'!E16,'Report 2. SUD RC Data'!E23,'Report 2. SUD RC Data'!E30,'Report 2. SUD RC Data'!E37,'Report 2. SUD RC Data'!E44,'Report 2. SUD RC Data'!E51,'Report 2. SUD RC Data'!E58,'Report 2. SUD RC Data'!E65,'Report 2. SUD RC Data'!E72,'Report 2. SUD RC Data'!E79,'Report 2. SUD RC Data'!E86,'Report 2. SUD RC Data'!E93)</f>
        <v>0</v>
      </c>
      <c r="F11" s="92">
        <f>SUM('Report 2. SUD RC Data'!F16,'Report 2. SUD RC Data'!F23,'Report 2. SUD RC Data'!F30,'Report 2. SUD RC Data'!F37,'Report 2. SUD RC Data'!F44,'Report 2. SUD RC Data'!F51,'Report 2. SUD RC Data'!F58,'Report 2. SUD RC Data'!F65,'Report 2. SUD RC Data'!F72,'Report 2. SUD RC Data'!F79,'Report 2. SUD RC Data'!F86,'Report 2. SUD RC Data'!F93)</f>
        <v>0</v>
      </c>
      <c r="G11" s="92">
        <f>SUM('Report 2. SUD RC Data'!G16,'Report 2. SUD RC Data'!G23,'Report 2. SUD RC Data'!G30,'Report 2. SUD RC Data'!G37,'Report 2. SUD RC Data'!G44,'Report 2. SUD RC Data'!G51,'Report 2. SUD RC Data'!G58,'Report 2. SUD RC Data'!G65,'Report 2. SUD RC Data'!G72,'Report 2. SUD RC Data'!G79,'Report 2. SUD RC Data'!G86,'Report 2. SUD RC Data'!G93)</f>
        <v>0</v>
      </c>
      <c r="H11" s="92">
        <f>SUM('Report 2. SUD RC Data'!H16,'Report 2. SUD RC Data'!H23,'Report 2. SUD RC Data'!H30,'Report 2. SUD RC Data'!H37,'Report 2. SUD RC Data'!H44,'Report 2. SUD RC Data'!H51,'Report 2. SUD RC Data'!H58,'Report 2. SUD RC Data'!H65,'Report 2. SUD RC Data'!H72,'Report 2. SUD RC Data'!H79,'Report 2. SUD RC Data'!H86,'Report 2. SUD RC Data'!H93)</f>
        <v>0</v>
      </c>
      <c r="I11" s="92">
        <f t="shared" si="0"/>
        <v>0</v>
      </c>
    </row>
    <row r="12" spans="2:12" ht="14.4" thickTop="1" x14ac:dyDescent="0.3">
      <c r="C12" s="66" t="s">
        <v>38</v>
      </c>
      <c r="D12" s="93">
        <f>SUM(D9:D11)</f>
        <v>1021</v>
      </c>
      <c r="E12" s="93">
        <f t="shared" ref="E12:H12" si="1">SUM(E9:E11)</f>
        <v>3213</v>
      </c>
      <c r="F12" s="93">
        <f t="shared" si="1"/>
        <v>208</v>
      </c>
      <c r="G12" s="93">
        <f t="shared" si="1"/>
        <v>2479</v>
      </c>
      <c r="H12" s="93">
        <f t="shared" si="1"/>
        <v>1530</v>
      </c>
      <c r="I12" s="93">
        <f t="shared" si="0"/>
        <v>8451</v>
      </c>
    </row>
    <row r="14" spans="2:12" x14ac:dyDescent="0.3">
      <c r="C14" s="51"/>
      <c r="D14" s="34" t="s">
        <v>111</v>
      </c>
      <c r="E14" s="34"/>
      <c r="F14" s="34"/>
      <c r="G14" s="34"/>
      <c r="H14" s="34"/>
      <c r="I14" s="34"/>
    </row>
    <row r="15" spans="2:12" x14ac:dyDescent="0.3">
      <c r="B15" s="34" t="str">
        <f>B8</f>
        <v>Total</v>
      </c>
      <c r="C15" s="52" t="s">
        <v>64</v>
      </c>
      <c r="D15" s="54" t="s">
        <v>77</v>
      </c>
      <c r="E15" s="54" t="s">
        <v>78</v>
      </c>
      <c r="F15" s="54" t="s">
        <v>79</v>
      </c>
      <c r="G15" s="52" t="s">
        <v>62</v>
      </c>
      <c r="H15" s="52" t="s">
        <v>63</v>
      </c>
      <c r="I15" s="52" t="s">
        <v>38</v>
      </c>
    </row>
    <row r="16" spans="2:12" x14ac:dyDescent="0.3">
      <c r="C16" s="9" t="s">
        <v>65</v>
      </c>
      <c r="D16" s="94">
        <f>SUM('Report 2. SUD RC Data'!L14,'Report 2. SUD RC Data'!L21,'Report 2. SUD RC Data'!L28,'Report 2. SUD RC Data'!L35,'Report 2. SUD RC Data'!L42,'Report 2. SUD RC Data'!L49,'Report 2. SUD RC Data'!L56,'Report 2. SUD RC Data'!L63,'Report 2. SUD RC Data'!L70,'Report 2. SUD RC Data'!L77,'Report 2. SUD RC Data'!L84,'Report 2. SUD RC Data'!L91)</f>
        <v>0</v>
      </c>
      <c r="E16" s="94">
        <f>SUM('Report 2. SUD RC Data'!M14,'Report 2. SUD RC Data'!M21,'Report 2. SUD RC Data'!M28,'Report 2. SUD RC Data'!M35,'Report 2. SUD RC Data'!M42,'Report 2. SUD RC Data'!M49,'Report 2. SUD RC Data'!M56,'Report 2. SUD RC Data'!M63,'Report 2. SUD RC Data'!M70,'Report 2. SUD RC Data'!M77,'Report 2. SUD RC Data'!M84,'Report 2. SUD RC Data'!M91)</f>
        <v>0</v>
      </c>
      <c r="F16" s="94">
        <f>SUM('Report 2. SUD RC Data'!N14,'Report 2. SUD RC Data'!N21,'Report 2. SUD RC Data'!N28,'Report 2. SUD RC Data'!N35,'Report 2. SUD RC Data'!N42,'Report 2. SUD RC Data'!N49,'Report 2. SUD RC Data'!N56,'Report 2. SUD RC Data'!N63,'Report 2. SUD RC Data'!N70,'Report 2. SUD RC Data'!N77,'Report 2. SUD RC Data'!N84,'Report 2. SUD RC Data'!N91)</f>
        <v>126776.73</v>
      </c>
      <c r="G16" s="94">
        <f>SUM('Report 2. SUD RC Data'!O14,'Report 2. SUD RC Data'!O21,'Report 2. SUD RC Data'!O28,'Report 2. SUD RC Data'!O35,'Report 2. SUD RC Data'!O42,'Report 2. SUD RC Data'!O49,'Report 2. SUD RC Data'!O56,'Report 2. SUD RC Data'!O63,'Report 2. SUD RC Data'!O70,'Report 2. SUD RC Data'!O77,'Report 2. SUD RC Data'!O84,'Report 2. SUD RC Data'!O91)</f>
        <v>884691.91000000178</v>
      </c>
      <c r="H16" s="94">
        <f>SUM('Report 2. SUD RC Data'!P14,'Report 2. SUD RC Data'!P21,'Report 2. SUD RC Data'!P28,'Report 2. SUD RC Data'!P35,'Report 2. SUD RC Data'!P42,'Report 2. SUD RC Data'!P49,'Report 2. SUD RC Data'!P56,'Report 2. SUD RC Data'!P63,'Report 2. SUD RC Data'!P70,'Report 2. SUD RC Data'!P77,'Report 2. SUD RC Data'!P84,'Report 2. SUD RC Data'!P91)</f>
        <v>1418243.1300000001</v>
      </c>
      <c r="I16" s="94">
        <f>SUM(D16:H16)</f>
        <v>2429711.7700000019</v>
      </c>
    </row>
    <row r="17" spans="2:9" x14ac:dyDescent="0.3">
      <c r="C17" s="9" t="s">
        <v>66</v>
      </c>
      <c r="D17" s="94">
        <f>SUM('Report 2. SUD RC Data'!L15,'Report 2. SUD RC Data'!L22,'Report 2. SUD RC Data'!L29,'Report 2. SUD RC Data'!L36,'Report 2. SUD RC Data'!L43,'Report 2. SUD RC Data'!L50,'Report 2. SUD RC Data'!L57,'Report 2. SUD RC Data'!L64,'Report 2. SUD RC Data'!L71,'Report 2. SUD RC Data'!L78,'Report 2. SUD RC Data'!L85,'Report 2. SUD RC Data'!L92)</f>
        <v>195423.50999999975</v>
      </c>
      <c r="E17" s="94">
        <f>SUM('Report 2. SUD RC Data'!M15,'Report 2. SUD RC Data'!M22,'Report 2. SUD RC Data'!M29,'Report 2. SUD RC Data'!M36,'Report 2. SUD RC Data'!M43,'Report 2. SUD RC Data'!M50,'Report 2. SUD RC Data'!M57,'Report 2. SUD RC Data'!M64,'Report 2. SUD RC Data'!M71,'Report 2. SUD RC Data'!M78,'Report 2. SUD RC Data'!M85,'Report 2. SUD RC Data'!M92)</f>
        <v>895817.48999999836</v>
      </c>
      <c r="F17" s="94">
        <f>SUM('Report 2. SUD RC Data'!N15,'Report 2. SUD RC Data'!N22,'Report 2. SUD RC Data'!N29,'Report 2. SUD RC Data'!N36,'Report 2. SUD RC Data'!N43,'Report 2. SUD RC Data'!N50,'Report 2. SUD RC Data'!N57,'Report 2. SUD RC Data'!N64,'Report 2. SUD RC Data'!N71,'Report 2. SUD RC Data'!N78,'Report 2. SUD RC Data'!N85,'Report 2. SUD RC Data'!N92)</f>
        <v>22797.450000000004</v>
      </c>
      <c r="G17" s="94">
        <f>SUM('Report 2. SUD RC Data'!O15,'Report 2. SUD RC Data'!O22,'Report 2. SUD RC Data'!O29,'Report 2. SUD RC Data'!O36,'Report 2. SUD RC Data'!O43,'Report 2. SUD RC Data'!O50,'Report 2. SUD RC Data'!O57,'Report 2. SUD RC Data'!O64,'Report 2. SUD RC Data'!O71,'Report 2. SUD RC Data'!O78,'Report 2. SUD RC Data'!O85,'Report 2. SUD RC Data'!O92)</f>
        <v>0</v>
      </c>
      <c r="H17" s="94">
        <f>SUM('Report 2. SUD RC Data'!P15,'Report 2. SUD RC Data'!P22,'Report 2. SUD RC Data'!P29,'Report 2. SUD RC Data'!P36,'Report 2. SUD RC Data'!P43,'Report 2. SUD RC Data'!P50,'Report 2. SUD RC Data'!P57,'Report 2. SUD RC Data'!P64,'Report 2. SUD RC Data'!P71,'Report 2. SUD RC Data'!P78,'Report 2. SUD RC Data'!P85,'Report 2. SUD RC Data'!P92)</f>
        <v>0</v>
      </c>
      <c r="I17" s="94">
        <f t="shared" ref="I17:I19" si="2">SUM(D17:H17)</f>
        <v>1114038.4499999981</v>
      </c>
    </row>
    <row r="18" spans="2:9" ht="14.4" thickBot="1" x14ac:dyDescent="0.35">
      <c r="C18" s="11" t="s">
        <v>67</v>
      </c>
      <c r="D18" s="95">
        <f>SUM('Report 2. SUD RC Data'!L16,'Report 2. SUD RC Data'!L23,'Report 2. SUD RC Data'!L30,'Report 2. SUD RC Data'!L37,'Report 2. SUD RC Data'!L44,'Report 2. SUD RC Data'!L51,'Report 2. SUD RC Data'!L58,'Report 2. SUD RC Data'!L65,'Report 2. SUD RC Data'!L72,'Report 2. SUD RC Data'!L79,'Report 2. SUD RC Data'!L86,'Report 2. SUD RC Data'!L93)</f>
        <v>0</v>
      </c>
      <c r="E18" s="95">
        <f>SUM('Report 2. SUD RC Data'!M16,'Report 2. SUD RC Data'!M23,'Report 2. SUD RC Data'!M30,'Report 2. SUD RC Data'!M37,'Report 2. SUD RC Data'!M44,'Report 2. SUD RC Data'!M51,'Report 2. SUD RC Data'!M58,'Report 2. SUD RC Data'!M65,'Report 2. SUD RC Data'!M72,'Report 2. SUD RC Data'!M79,'Report 2. SUD RC Data'!M86,'Report 2. SUD RC Data'!M93)</f>
        <v>0</v>
      </c>
      <c r="F18" s="95">
        <f>SUM('Report 2. SUD RC Data'!N16,'Report 2. SUD RC Data'!N23,'Report 2. SUD RC Data'!N30,'Report 2. SUD RC Data'!N37,'Report 2. SUD RC Data'!N44,'Report 2. SUD RC Data'!N51,'Report 2. SUD RC Data'!N58,'Report 2. SUD RC Data'!N65,'Report 2. SUD RC Data'!N72,'Report 2. SUD RC Data'!N79,'Report 2. SUD RC Data'!N86,'Report 2. SUD RC Data'!N93)</f>
        <v>0</v>
      </c>
      <c r="G18" s="95">
        <f>SUM('Report 2. SUD RC Data'!O16,'Report 2. SUD RC Data'!O23,'Report 2. SUD RC Data'!O30,'Report 2. SUD RC Data'!O37,'Report 2. SUD RC Data'!O44,'Report 2. SUD RC Data'!O51,'Report 2. SUD RC Data'!O58,'Report 2. SUD RC Data'!O65,'Report 2. SUD RC Data'!O72,'Report 2. SUD RC Data'!O79,'Report 2. SUD RC Data'!O86,'Report 2. SUD RC Data'!O93)</f>
        <v>0</v>
      </c>
      <c r="H18" s="95">
        <f>SUM('Report 2. SUD RC Data'!P16,'Report 2. SUD RC Data'!P23,'Report 2. SUD RC Data'!P30,'Report 2. SUD RC Data'!P37,'Report 2. SUD RC Data'!P44,'Report 2. SUD RC Data'!P51,'Report 2. SUD RC Data'!P58,'Report 2. SUD RC Data'!P65,'Report 2. SUD RC Data'!P72,'Report 2. SUD RC Data'!P79,'Report 2. SUD RC Data'!P86,'Report 2. SUD RC Data'!P93)</f>
        <v>0</v>
      </c>
      <c r="I18" s="95">
        <f t="shared" si="2"/>
        <v>0</v>
      </c>
    </row>
    <row r="19" spans="2:9" ht="14.4" thickTop="1" x14ac:dyDescent="0.3">
      <c r="C19" s="66" t="s">
        <v>38</v>
      </c>
      <c r="D19" s="96">
        <f>SUM(D16:D18)</f>
        <v>195423.50999999975</v>
      </c>
      <c r="E19" s="96">
        <f t="shared" ref="E19:H19" si="3">SUM(E16:E18)</f>
        <v>895817.48999999836</v>
      </c>
      <c r="F19" s="96">
        <f t="shared" si="3"/>
        <v>149574.18</v>
      </c>
      <c r="G19" s="96">
        <f t="shared" si="3"/>
        <v>884691.91000000178</v>
      </c>
      <c r="H19" s="96">
        <f t="shared" si="3"/>
        <v>1418243.1300000001</v>
      </c>
      <c r="I19" s="96">
        <f t="shared" si="2"/>
        <v>3543750.2199999997</v>
      </c>
    </row>
    <row r="21" spans="2:9" x14ac:dyDescent="0.3">
      <c r="C21" s="51"/>
      <c r="D21" s="34" t="s">
        <v>84</v>
      </c>
      <c r="E21" s="34"/>
      <c r="F21" s="34"/>
      <c r="G21" s="34"/>
      <c r="H21" s="34"/>
      <c r="I21" s="34"/>
    </row>
    <row r="22" spans="2:9" x14ac:dyDescent="0.3">
      <c r="B22" s="118" t="str">
        <f>B15</f>
        <v>Total</v>
      </c>
      <c r="C22" s="101" t="s">
        <v>64</v>
      </c>
      <c r="D22" s="102" t="s">
        <v>77</v>
      </c>
      <c r="E22" s="102" t="s">
        <v>78</v>
      </c>
      <c r="F22" s="102" t="s">
        <v>79</v>
      </c>
      <c r="G22" s="101" t="s">
        <v>62</v>
      </c>
      <c r="H22" s="101" t="s">
        <v>63</v>
      </c>
      <c r="I22" s="101" t="s">
        <v>125</v>
      </c>
    </row>
    <row r="23" spans="2:9" x14ac:dyDescent="0.3">
      <c r="C23" s="9" t="s">
        <v>65</v>
      </c>
      <c r="D23" s="35">
        <f t="shared" ref="D23:H26" si="4">IF(D9 = 0,0,D16/D9)</f>
        <v>0</v>
      </c>
      <c r="E23" s="35">
        <f t="shared" si="4"/>
        <v>0</v>
      </c>
      <c r="F23" s="35">
        <f t="shared" si="4"/>
        <v>750.1581656804733</v>
      </c>
      <c r="G23" s="35">
        <f t="shared" si="4"/>
        <v>356.87450988301805</v>
      </c>
      <c r="H23" s="35">
        <f t="shared" si="4"/>
        <v>926.95629411764719</v>
      </c>
      <c r="I23" s="35">
        <f>IF(I9=0,0,SUMPRODUCT(D23:H23,D9:H9)/I9)</f>
        <v>581.54901148875103</v>
      </c>
    </row>
    <row r="24" spans="2:9" x14ac:dyDescent="0.3">
      <c r="C24" s="9" t="s">
        <v>66</v>
      </c>
      <c r="D24" s="35">
        <f t="shared" si="4"/>
        <v>191.40402546522992</v>
      </c>
      <c r="E24" s="35">
        <f t="shared" si="4"/>
        <v>278.81029878618062</v>
      </c>
      <c r="F24" s="35">
        <f t="shared" si="4"/>
        <v>584.55000000000007</v>
      </c>
      <c r="G24" s="35">
        <f t="shared" si="4"/>
        <v>0</v>
      </c>
      <c r="H24" s="35">
        <f t="shared" si="4"/>
        <v>0</v>
      </c>
      <c r="I24" s="35">
        <f>IF(I10=0,0,SUMPRODUCT(D24:H24,D10:H10)/I10)</f>
        <v>260.71576175988724</v>
      </c>
    </row>
    <row r="25" spans="2:9" ht="14.4" thickBot="1" x14ac:dyDescent="0.35">
      <c r="C25" s="11" t="s">
        <v>67</v>
      </c>
      <c r="D25" s="74">
        <f t="shared" si="4"/>
        <v>0</v>
      </c>
      <c r="E25" s="74">
        <f t="shared" si="4"/>
        <v>0</v>
      </c>
      <c r="F25" s="74">
        <f t="shared" si="4"/>
        <v>0</v>
      </c>
      <c r="G25" s="74">
        <f t="shared" si="4"/>
        <v>0</v>
      </c>
      <c r="H25" s="74">
        <f t="shared" si="4"/>
        <v>0</v>
      </c>
      <c r="I25" s="74">
        <f>IF(I11=0,0,SUMPRODUCT(D25:H25,D11:H11)/I11)</f>
        <v>0</v>
      </c>
    </row>
    <row r="26" spans="2:9" ht="14.4" thickTop="1" x14ac:dyDescent="0.3">
      <c r="C26" s="66" t="s">
        <v>38</v>
      </c>
      <c r="D26" s="73">
        <f t="shared" si="4"/>
        <v>191.40402546522992</v>
      </c>
      <c r="E26" s="73">
        <f t="shared" si="4"/>
        <v>278.81029878618062</v>
      </c>
      <c r="F26" s="73">
        <f t="shared" si="4"/>
        <v>719.10663461538456</v>
      </c>
      <c r="G26" s="73">
        <f t="shared" si="4"/>
        <v>356.87450988301805</v>
      </c>
      <c r="H26" s="73">
        <f t="shared" si="4"/>
        <v>926.95629411764719</v>
      </c>
      <c r="I26" s="73">
        <f>IF(I12=0,0,SUMPRODUCT(D26:H26,D12:H12)/I12)</f>
        <v>419.32909951485027</v>
      </c>
    </row>
    <row r="29" spans="2:9" x14ac:dyDescent="0.3">
      <c r="B29" s="80" t="s">
        <v>162</v>
      </c>
    </row>
    <row r="31" spans="2:9" x14ac:dyDescent="0.3">
      <c r="C31" s="51"/>
      <c r="D31" s="34" t="s">
        <v>85</v>
      </c>
      <c r="E31" s="34"/>
      <c r="F31" s="34"/>
      <c r="G31" s="34"/>
      <c r="H31" s="34"/>
    </row>
    <row r="32" spans="2:9" x14ac:dyDescent="0.3">
      <c r="C32" s="101" t="s">
        <v>86</v>
      </c>
      <c r="D32" s="102" t="s">
        <v>77</v>
      </c>
      <c r="E32" s="102" t="s">
        <v>78</v>
      </c>
      <c r="F32" s="102" t="s">
        <v>79</v>
      </c>
      <c r="G32" s="101" t="s">
        <v>62</v>
      </c>
      <c r="H32" s="101" t="s">
        <v>63</v>
      </c>
    </row>
    <row r="33" spans="2:8" x14ac:dyDescent="0.3">
      <c r="C33" s="9" t="s">
        <v>87</v>
      </c>
      <c r="D33" s="133">
        <v>184.09825153177468</v>
      </c>
      <c r="E33" s="133">
        <v>275</v>
      </c>
      <c r="F33" s="133">
        <v>650</v>
      </c>
      <c r="G33" s="133">
        <v>340</v>
      </c>
      <c r="H33" s="133">
        <v>960.6205184497702</v>
      </c>
    </row>
    <row r="35" spans="2:8" x14ac:dyDescent="0.3">
      <c r="C35" s="75" t="s">
        <v>88</v>
      </c>
      <c r="D35" s="75"/>
      <c r="E35" s="75"/>
    </row>
    <row r="36" spans="2:8" ht="21.45" customHeight="1" x14ac:dyDescent="0.3">
      <c r="C36" s="103" t="s">
        <v>89</v>
      </c>
      <c r="D36" s="103" t="s">
        <v>70</v>
      </c>
      <c r="E36" s="117" t="s">
        <v>165</v>
      </c>
    </row>
    <row r="37" spans="2:8" x14ac:dyDescent="0.3">
      <c r="C37" s="97">
        <f>IF(I12=0,0,(D33*D12+E33*E12+F33*F12+G33*G12+H33*H12)/I12)</f>
        <v>416.44168832588929</v>
      </c>
      <c r="D37" s="10">
        <f>I26</f>
        <v>419.32909951485027</v>
      </c>
      <c r="E37" s="10">
        <f>MIN(C37*1.05,D37)</f>
        <v>419.32909951485027</v>
      </c>
    </row>
    <row r="39" spans="2:8" x14ac:dyDescent="0.3">
      <c r="B39" s="75" t="s">
        <v>80</v>
      </c>
      <c r="C39" s="75"/>
      <c r="D39" s="75"/>
      <c r="E39" s="75"/>
      <c r="F39" s="75"/>
    </row>
    <row r="41" spans="2:8" x14ac:dyDescent="0.3">
      <c r="B41" s="134" t="s">
        <v>81</v>
      </c>
      <c r="C41" s="134"/>
      <c r="D41" s="134"/>
      <c r="E41" s="134"/>
      <c r="F41" s="134"/>
    </row>
    <row r="42" spans="2:8" ht="32.549999999999997" customHeight="1" x14ac:dyDescent="0.3">
      <c r="B42" s="135" t="s">
        <v>6</v>
      </c>
      <c r="C42" s="136" t="s">
        <v>124</v>
      </c>
      <c r="D42" s="135" t="s">
        <v>66</v>
      </c>
      <c r="E42" s="135" t="s">
        <v>82</v>
      </c>
      <c r="F42" s="135" t="s">
        <v>67</v>
      </c>
    </row>
    <row r="43" spans="2:8" x14ac:dyDescent="0.3">
      <c r="B43" s="137">
        <f>'Report 1. MLR Data'!K32</f>
        <v>2563240</v>
      </c>
      <c r="C43" s="138">
        <v>1.4177677679379954</v>
      </c>
      <c r="D43" s="138">
        <v>6.2057996138283968</v>
      </c>
      <c r="E43" s="138">
        <v>8.0263789729556834E-2</v>
      </c>
      <c r="F43" s="138">
        <v>1.3233493939141425</v>
      </c>
    </row>
    <row r="46" spans="2:8" x14ac:dyDescent="0.3">
      <c r="B46" s="77" t="s">
        <v>160</v>
      </c>
      <c r="C46" s="78"/>
      <c r="D46" s="79"/>
    </row>
    <row r="47" spans="2:8" x14ac:dyDescent="0.3">
      <c r="B47" s="80"/>
    </row>
    <row r="48" spans="2:8" x14ac:dyDescent="0.3">
      <c r="B48" s="81" t="s">
        <v>91</v>
      </c>
      <c r="D48" s="82">
        <v>12</v>
      </c>
    </row>
    <row r="49" spans="2:6" x14ac:dyDescent="0.3">
      <c r="B49" s="111" t="s">
        <v>9</v>
      </c>
      <c r="C49" s="112" t="s">
        <v>92</v>
      </c>
      <c r="D49" s="112"/>
    </row>
    <row r="50" spans="2:6" x14ac:dyDescent="0.3">
      <c r="B50" s="9" t="s">
        <v>10</v>
      </c>
      <c r="C50" s="83" t="s">
        <v>166</v>
      </c>
      <c r="D50" s="84">
        <f>B43*SUM(C43:F43)</f>
        <v>23138830.312481765</v>
      </c>
      <c r="E50" s="89"/>
    </row>
    <row r="51" spans="2:6" x14ac:dyDescent="0.3">
      <c r="B51" s="9" t="s">
        <v>11</v>
      </c>
      <c r="C51" s="83" t="s">
        <v>167</v>
      </c>
      <c r="D51" s="84">
        <f>E37*I12+'Report 2. SUD RC Data'!C10</f>
        <v>3543750.2199999997</v>
      </c>
    </row>
    <row r="52" spans="2:6" x14ac:dyDescent="0.3">
      <c r="B52" s="9" t="s">
        <v>12</v>
      </c>
      <c r="C52" s="83" t="s">
        <v>128</v>
      </c>
      <c r="D52" s="84">
        <f>D50-D51</f>
        <v>19595080.092481766</v>
      </c>
    </row>
    <row r="53" spans="2:6" ht="14.4" thickBot="1" x14ac:dyDescent="0.35">
      <c r="B53" s="11" t="s">
        <v>13</v>
      </c>
      <c r="C53" s="130" t="s">
        <v>129</v>
      </c>
      <c r="D53" s="85">
        <f>IF(D50 = 0,0,D52/D50)</f>
        <v>0.84684834228252259</v>
      </c>
    </row>
    <row r="54" spans="2:6" ht="28.2" thickTop="1" x14ac:dyDescent="0.3">
      <c r="B54" s="114" t="s">
        <v>14</v>
      </c>
      <c r="C54" s="119" t="s">
        <v>126</v>
      </c>
      <c r="D54" s="115">
        <f>IF(D50 = 0,0,D51/D50)</f>
        <v>0.15315165771747749</v>
      </c>
    </row>
    <row r="55" spans="2:6" ht="15" x14ac:dyDescent="0.3">
      <c r="B55" s="131" t="s">
        <v>168</v>
      </c>
      <c r="C55" s="120" t="s">
        <v>169</v>
      </c>
      <c r="D55" s="35">
        <f>IF(D54&lt;0.95,-(0.95*D50-D51),IF(D54&gt;1.05,-(1.05*D50-D51),0))</f>
        <v>-18438138.576857675</v>
      </c>
      <c r="E55" s="113"/>
      <c r="F55" s="113"/>
    </row>
    <row r="56" spans="2:6" x14ac:dyDescent="0.3">
      <c r="B56" s="9" t="s">
        <v>170</v>
      </c>
      <c r="C56" s="120" t="s">
        <v>171</v>
      </c>
      <c r="D56" s="35">
        <f>IF(IF(D54&lt;0.99,(0.99*D50-0.95*D50)*-0.5,IF(D54&gt;1.01,(1.05*D50-1.01*D50)*0.5))=FALSE,0,IF(D54&lt;0.99,(0.99*D50-0.95*D50)*-0.5,IF(D54&gt;1.01,(1.05*D50-1.01*D50)*0.5)))</f>
        <v>-462776.60624963604</v>
      </c>
      <c r="F56" s="113"/>
    </row>
    <row r="57" spans="2:6" x14ac:dyDescent="0.3">
      <c r="B57" s="9" t="s">
        <v>172</v>
      </c>
      <c r="C57" s="120" t="s">
        <v>173</v>
      </c>
      <c r="D57" s="35">
        <v>0</v>
      </c>
    </row>
    <row r="58" spans="2:6" ht="28.2" thickBot="1" x14ac:dyDescent="0.35">
      <c r="B58" s="116" t="s">
        <v>15</v>
      </c>
      <c r="C58" s="121" t="s">
        <v>130</v>
      </c>
      <c r="D58" s="132">
        <f>SUM(D55:D57)</f>
        <v>-18900915.183107309</v>
      </c>
    </row>
    <row r="59" spans="2:6" ht="14.4" thickTop="1" x14ac:dyDescent="0.3">
      <c r="B59" s="88" t="s">
        <v>174</v>
      </c>
    </row>
  </sheetData>
  <printOptions horizontalCentered="1"/>
  <pageMargins left="0.7" right="0.7" top="0.75" bottom="0.75" header="0.3" footer="0.3"/>
  <pageSetup fitToWidth="3" orientation="landscape" r:id="rId1"/>
  <headerFooter>
    <oddHeader>&amp;LState of Colorado&amp;RDraft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heetViews>
  <sheetFormatPr defaultColWidth="8.77734375" defaultRowHeight="13.8" x14ac:dyDescent="0.3"/>
  <cols>
    <col min="1" max="1" width="8.77734375" style="8" customWidth="1"/>
    <col min="2" max="2" width="11" style="8" bestFit="1" customWidth="1"/>
    <col min="3" max="3" width="53.21875" style="8" bestFit="1" customWidth="1"/>
    <col min="4" max="4" width="19.21875" style="8" customWidth="1"/>
    <col min="5" max="16384" width="8.77734375" style="8"/>
  </cols>
  <sheetData>
    <row r="1" spans="2:5" ht="14.4" x14ac:dyDescent="0.3">
      <c r="C1"/>
    </row>
    <row r="2" spans="2:5" x14ac:dyDescent="0.3">
      <c r="B2" s="12" t="s">
        <v>105</v>
      </c>
      <c r="C2" s="13" t="str">
        <f>Overview!$C$11</f>
        <v>CCHA</v>
      </c>
    </row>
    <row r="3" spans="2:5" x14ac:dyDescent="0.3">
      <c r="B3" s="12" t="s">
        <v>114</v>
      </c>
      <c r="C3" s="13">
        <f>Overview!C12</f>
        <v>7</v>
      </c>
    </row>
    <row r="4" spans="2:5" x14ac:dyDescent="0.3">
      <c r="B4" s="12" t="s">
        <v>27</v>
      </c>
      <c r="C4" s="14" t="s">
        <v>46</v>
      </c>
    </row>
    <row r="5" spans="2:5" x14ac:dyDescent="0.3">
      <c r="B5" s="12" t="s">
        <v>28</v>
      </c>
      <c r="C5" s="13" t="str">
        <f>Overview!$C$14</f>
        <v>July 1, 2021 - June 30, 2022</v>
      </c>
    </row>
    <row r="6" spans="2:5" x14ac:dyDescent="0.3">
      <c r="B6" s="12"/>
      <c r="C6" s="13"/>
    </row>
    <row r="8" spans="2:5" x14ac:dyDescent="0.3">
      <c r="D8" s="52" t="s">
        <v>61</v>
      </c>
    </row>
    <row r="9" spans="2:5" x14ac:dyDescent="0.3">
      <c r="B9" s="34" t="s">
        <v>9</v>
      </c>
      <c r="C9" s="52" t="s">
        <v>46</v>
      </c>
      <c r="D9" s="52" t="s">
        <v>74</v>
      </c>
    </row>
    <row r="10" spans="2:5" x14ac:dyDescent="0.3">
      <c r="B10" s="2" t="s">
        <v>10</v>
      </c>
      <c r="C10" s="61" t="s">
        <v>7</v>
      </c>
      <c r="D10" s="7">
        <f>'Report 1. MLR Data'!K13</f>
        <v>128972157.43193869</v>
      </c>
      <c r="E10" s="88"/>
    </row>
    <row r="11" spans="2:5" x14ac:dyDescent="0.3">
      <c r="B11" s="2" t="s">
        <v>11</v>
      </c>
      <c r="C11" s="98" t="s">
        <v>127</v>
      </c>
      <c r="D11" s="7">
        <f>'Report 3. SUD Risk Corridor'!D58</f>
        <v>-18900915.183107309</v>
      </c>
      <c r="E11" s="89"/>
    </row>
    <row r="12" spans="2:5" x14ac:dyDescent="0.3">
      <c r="B12" s="2" t="s">
        <v>12</v>
      </c>
      <c r="C12" s="98" t="s">
        <v>106</v>
      </c>
      <c r="D12" s="7">
        <f t="shared" ref="D12" si="0">D10+D11</f>
        <v>110071242.24883139</v>
      </c>
      <c r="E12" s="88"/>
    </row>
    <row r="13" spans="2:5" x14ac:dyDescent="0.3">
      <c r="B13" s="2" t="s">
        <v>13</v>
      </c>
      <c r="C13" s="98" t="s">
        <v>107</v>
      </c>
      <c r="D13" s="3">
        <f>'Report 1. MLR Data'!K28</f>
        <v>97616440.353719562</v>
      </c>
      <c r="E13" s="88"/>
    </row>
    <row r="14" spans="2:5" x14ac:dyDescent="0.3">
      <c r="B14" s="2" t="s">
        <v>14</v>
      </c>
      <c r="C14" s="98" t="s">
        <v>108</v>
      </c>
      <c r="D14" s="4">
        <f>IF(D12=0,0,D13/D12)</f>
        <v>0.88684781201109719</v>
      </c>
      <c r="E14" s="88"/>
    </row>
    <row r="15" spans="2:5" x14ac:dyDescent="0.3">
      <c r="B15" s="2" t="s">
        <v>15</v>
      </c>
      <c r="C15" s="2" t="s">
        <v>1</v>
      </c>
      <c r="D15" s="33">
        <v>0.85</v>
      </c>
      <c r="E15" s="88"/>
    </row>
    <row r="16" spans="2:5" ht="14.4" thickBot="1" x14ac:dyDescent="0.35">
      <c r="B16" s="45" t="s">
        <v>16</v>
      </c>
      <c r="C16" s="99" t="s">
        <v>109</v>
      </c>
      <c r="D16" s="5">
        <f t="shared" ref="D16" si="1">IF(D15-D14&lt;0,0,D15-D14)</f>
        <v>0</v>
      </c>
      <c r="E16" s="88"/>
    </row>
    <row r="17" spans="2:5" ht="14.4" thickTop="1" x14ac:dyDescent="0.3">
      <c r="B17" s="1" t="s">
        <v>17</v>
      </c>
      <c r="C17" s="100" t="s">
        <v>110</v>
      </c>
      <c r="D17" s="6">
        <f>IF(D16=0,0,MAX(D12-(D13/D15),0))</f>
        <v>0</v>
      </c>
      <c r="E17" s="89"/>
    </row>
    <row r="20" spans="2:5" ht="12.75" customHeight="1" x14ac:dyDescent="0.3">
      <c r="B20"/>
      <c r="C20"/>
      <c r="D20"/>
    </row>
    <row r="21" spans="2:5" ht="14.4" x14ac:dyDescent="0.3">
      <c r="B21"/>
      <c r="C21"/>
      <c r="D21"/>
    </row>
    <row r="22" spans="2:5" ht="14.4" x14ac:dyDescent="0.3">
      <c r="B22"/>
      <c r="C22"/>
      <c r="D22"/>
    </row>
    <row r="23" spans="2:5" ht="14.4" x14ac:dyDescent="0.3">
      <c r="B23"/>
      <c r="C23"/>
      <c r="D23"/>
    </row>
    <row r="24" spans="2:5" ht="14.4" x14ac:dyDescent="0.3">
      <c r="B24"/>
      <c r="C24"/>
      <c r="D24"/>
    </row>
    <row r="25" spans="2:5" ht="14.4" x14ac:dyDescent="0.3">
      <c r="B25"/>
      <c r="C25"/>
      <c r="D25"/>
    </row>
    <row r="26" spans="2:5" ht="14.4" x14ac:dyDescent="0.3">
      <c r="B26"/>
      <c r="C26"/>
      <c r="D26"/>
    </row>
    <row r="27" spans="2:5" ht="14.4" x14ac:dyDescent="0.3">
      <c r="B27"/>
      <c r="C27"/>
      <c r="D27"/>
    </row>
    <row r="28" spans="2:5" ht="14.4" x14ac:dyDescent="0.3">
      <c r="B28"/>
      <c r="C28"/>
      <c r="D28"/>
    </row>
    <row r="29" spans="2:5" ht="14.4" x14ac:dyDescent="0.3">
      <c r="B29"/>
      <c r="C29"/>
      <c r="D29"/>
    </row>
    <row r="30" spans="2:5" ht="14.4" x14ac:dyDescent="0.3">
      <c r="B30"/>
      <c r="C30"/>
      <c r="D30"/>
    </row>
    <row r="31" spans="2:5" ht="14.4" x14ac:dyDescent="0.3">
      <c r="B31"/>
      <c r="C31"/>
      <c r="D31"/>
    </row>
    <row r="32" spans="2:5" ht="14.4" x14ac:dyDescent="0.3">
      <c r="B32"/>
      <c r="C32"/>
      <c r="D32"/>
    </row>
    <row r="33" spans="2:4" ht="14.4" x14ac:dyDescent="0.3">
      <c r="B33"/>
      <c r="C33"/>
      <c r="D33"/>
    </row>
    <row r="34" spans="2:4" ht="14.4" x14ac:dyDescent="0.3">
      <c r="B34"/>
      <c r="C34"/>
      <c r="D34"/>
    </row>
    <row r="35" spans="2:4" ht="14.4" x14ac:dyDescent="0.3">
      <c r="B35"/>
      <c r="C35"/>
      <c r="D35"/>
    </row>
    <row r="36" spans="2:4" ht="14.4" x14ac:dyDescent="0.3">
      <c r="B36"/>
      <c r="C36"/>
      <c r="D36"/>
    </row>
    <row r="37" spans="2:4" ht="14.4" x14ac:dyDescent="0.3">
      <c r="B37"/>
      <c r="C37"/>
      <c r="D37"/>
    </row>
    <row r="38" spans="2:4" ht="14.4" x14ac:dyDescent="0.3">
      <c r="B38"/>
      <c r="C38"/>
      <c r="D38"/>
    </row>
    <row r="39" spans="2:4" ht="14.4" x14ac:dyDescent="0.3">
      <c r="B39"/>
      <c r="C39"/>
      <c r="D39"/>
    </row>
    <row r="40" spans="2:4" ht="14.4" x14ac:dyDescent="0.3">
      <c r="B40"/>
      <c r="C40"/>
      <c r="D40"/>
    </row>
    <row r="41" spans="2:4" ht="14.4" x14ac:dyDescent="0.3">
      <c r="B41"/>
      <c r="C41"/>
      <c r="D41"/>
    </row>
    <row r="42" spans="2:4" ht="14.4" x14ac:dyDescent="0.3">
      <c r="B42"/>
      <c r="C42"/>
      <c r="D42"/>
    </row>
    <row r="43" spans="2:4" ht="14.4" x14ac:dyDescent="0.3">
      <c r="B43"/>
      <c r="C43"/>
      <c r="D43"/>
    </row>
    <row r="44" spans="2:4" ht="14.4" x14ac:dyDescent="0.3">
      <c r="B44"/>
      <c r="C44"/>
      <c r="D44"/>
    </row>
    <row r="45" spans="2:4" ht="14.4" x14ac:dyDescent="0.3">
      <c r="B45"/>
      <c r="C45"/>
      <c r="D45"/>
    </row>
    <row r="46" spans="2:4" ht="14.4" x14ac:dyDescent="0.3">
      <c r="B46"/>
      <c r="C46"/>
      <c r="D46"/>
    </row>
    <row r="47" spans="2:4" ht="14.4" x14ac:dyDescent="0.3">
      <c r="B47"/>
      <c r="C47"/>
      <c r="D47"/>
    </row>
    <row r="48" spans="2:4" ht="14.4" x14ac:dyDescent="0.3">
      <c r="B48"/>
      <c r="C48"/>
      <c r="D48"/>
    </row>
    <row r="49" spans="2:4" ht="14.4" x14ac:dyDescent="0.3">
      <c r="B49"/>
      <c r="C49"/>
      <c r="D49"/>
    </row>
    <row r="50" spans="2:4" ht="14.4" x14ac:dyDescent="0.3">
      <c r="B50"/>
      <c r="C50"/>
      <c r="D50"/>
    </row>
    <row r="51" spans="2:4" ht="14.4" x14ac:dyDescent="0.3">
      <c r="B51"/>
      <c r="C51"/>
      <c r="D51"/>
    </row>
  </sheetData>
  <protectedRanges>
    <protectedRange sqref="B29:D34 B37:D42 B45:D50 B21:D26" name="Range1"/>
  </protectedRanges>
  <pageMargins left="0.7" right="0.7" top="0.75" bottom="0.75" header="0.3" footer="0.3"/>
  <pageSetup fitToWidth="3" orientation="landscape" r:id="rId1"/>
  <headerFooter>
    <oddHeader>&amp;LState of Colorado&amp;RDraft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tabSelected="1" workbookViewId="0">
      <selection activeCell="C17" sqref="C17"/>
    </sheetView>
  </sheetViews>
  <sheetFormatPr defaultColWidth="8.77734375" defaultRowHeight="15" customHeight="1" x14ac:dyDescent="0.3"/>
  <cols>
    <col min="1" max="1" width="8.77734375" customWidth="1"/>
    <col min="2" max="10" width="10.77734375" customWidth="1"/>
  </cols>
  <sheetData>
    <row r="2" spans="2:10" ht="15" customHeight="1" x14ac:dyDescent="0.3">
      <c r="B2" s="12" t="s">
        <v>105</v>
      </c>
      <c r="C2" s="13" t="str">
        <f>Overview!$C$11</f>
        <v>CCHA</v>
      </c>
    </row>
    <row r="3" spans="2:10" ht="15" customHeight="1" x14ac:dyDescent="0.3">
      <c r="B3" s="12" t="s">
        <v>114</v>
      </c>
      <c r="C3" s="13">
        <f>Overview!C12</f>
        <v>7</v>
      </c>
    </row>
    <row r="4" spans="2:10" ht="15" customHeight="1" x14ac:dyDescent="0.3">
      <c r="B4" s="12" t="s">
        <v>27</v>
      </c>
      <c r="C4" s="14" t="s">
        <v>93</v>
      </c>
    </row>
    <row r="5" spans="2:10" ht="15" customHeight="1" x14ac:dyDescent="0.3">
      <c r="B5" s="12" t="s">
        <v>28</v>
      </c>
      <c r="C5" s="13" t="str">
        <f>Overview!$C$14</f>
        <v>July 1, 2021 - June 30, 2022</v>
      </c>
    </row>
    <row r="7" spans="2:10" ht="15" customHeight="1" x14ac:dyDescent="0.3">
      <c r="B7" s="29" t="s">
        <v>39</v>
      </c>
      <c r="C7" s="16"/>
      <c r="D7" s="16"/>
      <c r="E7" s="16"/>
    </row>
    <row r="8" spans="2:10" ht="15" customHeight="1" x14ac:dyDescent="0.3">
      <c r="B8" s="27" t="s">
        <v>45</v>
      </c>
      <c r="C8" s="16"/>
      <c r="D8" s="16"/>
      <c r="E8" s="16"/>
    </row>
    <row r="9" spans="2:10" ht="15" customHeight="1" x14ac:dyDescent="0.3">
      <c r="B9" s="29" t="str">
        <f>"during the incurral time period of "&amp;Overview!$C$14&amp;"."</f>
        <v>during the incurral time period of July 1, 2021 - June 30, 2022.</v>
      </c>
      <c r="C9" s="16"/>
      <c r="D9" s="16"/>
      <c r="E9" s="16"/>
    </row>
    <row r="10" spans="2:10" ht="15" customHeight="1" x14ac:dyDescent="0.3">
      <c r="B10" s="16"/>
      <c r="C10" s="16"/>
      <c r="D10" s="16"/>
      <c r="E10" s="16"/>
    </row>
    <row r="12" spans="2:10" ht="15" customHeight="1" thickBot="1" x14ac:dyDescent="0.35">
      <c r="B12" s="13" t="s">
        <v>40</v>
      </c>
      <c r="C12" s="37" t="s">
        <v>200</v>
      </c>
      <c r="D12" s="37"/>
      <c r="E12" s="37"/>
      <c r="F12" s="37"/>
      <c r="G12" s="37"/>
      <c r="I12" s="49">
        <v>44939</v>
      </c>
      <c r="J12" s="37"/>
    </row>
    <row r="13" spans="2:10" ht="15" customHeight="1" x14ac:dyDescent="0.3">
      <c r="B13" s="16"/>
      <c r="C13" s="13" t="s">
        <v>41</v>
      </c>
      <c r="D13" s="16"/>
      <c r="E13" s="16"/>
      <c r="G13" s="16"/>
      <c r="I13" s="13" t="s">
        <v>42</v>
      </c>
    </row>
    <row r="14" spans="2:10" ht="15" customHeight="1" x14ac:dyDescent="0.3">
      <c r="B14" s="16"/>
      <c r="C14" s="16"/>
      <c r="D14" s="16"/>
      <c r="E14" s="16"/>
      <c r="G14" s="16"/>
      <c r="I14" s="16"/>
    </row>
    <row r="15" spans="2:10" ht="15" customHeight="1" x14ac:dyDescent="0.3">
      <c r="B15" s="16"/>
      <c r="C15" s="16"/>
      <c r="D15" s="16"/>
      <c r="E15" s="16"/>
      <c r="G15" s="16"/>
      <c r="I15" s="16"/>
    </row>
    <row r="16" spans="2:10" ht="15" customHeight="1" x14ac:dyDescent="0.3">
      <c r="B16" s="16"/>
    </row>
    <row r="17" spans="2:10" ht="15" customHeight="1" thickBot="1" x14ac:dyDescent="0.35">
      <c r="B17" s="16"/>
      <c r="C17" s="37"/>
      <c r="D17" s="37"/>
      <c r="E17" s="37"/>
      <c r="F17" s="37" t="s">
        <v>202</v>
      </c>
      <c r="G17" s="37"/>
      <c r="I17" s="37" t="s">
        <v>201</v>
      </c>
      <c r="J17" s="37"/>
    </row>
    <row r="18" spans="2:10" ht="15" customHeight="1" x14ac:dyDescent="0.3">
      <c r="C18" s="13" t="s">
        <v>43</v>
      </c>
      <c r="D18" s="16"/>
      <c r="E18" s="16"/>
      <c r="G18" s="16"/>
      <c r="I18" s="13" t="s">
        <v>44</v>
      </c>
    </row>
  </sheetData>
  <pageMargins left="0.7" right="0.7" top="0.75" bottom="0.75" header="0.3" footer="0.3"/>
  <pageSetup fitToHeight="0" orientation="landscape" r:id="rId1"/>
  <headerFooter>
    <oddHeader>&amp;LState of Colorado&amp;RDraft and Confidential</oddHeader>
    <oddFooter>&amp;L&amp;F | &amp;A&amp;R&amp;G</oddFooter>
  </headerFooter>
  <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FC9C-BEC9-4AA2-985C-5B3939AAD244}">
  <dimension ref="B2:O61"/>
  <sheetViews>
    <sheetView workbookViewId="0"/>
  </sheetViews>
  <sheetFormatPr defaultRowHeight="14.4" x14ac:dyDescent="0.3"/>
  <cols>
    <col min="7" max="8" width="12.77734375" bestFit="1" customWidth="1"/>
  </cols>
  <sheetData>
    <row r="2" spans="2:15" x14ac:dyDescent="0.3">
      <c r="B2" s="16" t="s">
        <v>145</v>
      </c>
      <c r="C2" s="16"/>
      <c r="D2" s="16"/>
      <c r="E2" s="16"/>
      <c r="F2" s="16"/>
      <c r="G2" s="16"/>
    </row>
    <row r="3" spans="2:15" x14ac:dyDescent="0.3">
      <c r="B3" s="166" t="s">
        <v>176</v>
      </c>
      <c r="C3" s="167"/>
      <c r="D3" s="167"/>
      <c r="E3" s="167"/>
      <c r="F3" s="167"/>
      <c r="G3" s="167"/>
      <c r="H3" s="167"/>
      <c r="I3" s="167"/>
      <c r="J3" s="168"/>
      <c r="K3" s="168"/>
      <c r="L3" s="168"/>
      <c r="M3" s="168"/>
      <c r="N3" s="168"/>
      <c r="O3" s="169"/>
    </row>
    <row r="4" spans="2:15" x14ac:dyDescent="0.3">
      <c r="B4" s="170"/>
      <c r="C4" s="171"/>
      <c r="D4" s="171"/>
      <c r="E4" s="171"/>
      <c r="F4" s="171"/>
      <c r="G4" s="171"/>
      <c r="H4" s="171"/>
      <c r="I4" s="171"/>
      <c r="J4" s="172"/>
      <c r="K4" s="172"/>
      <c r="L4" s="172"/>
      <c r="M4" s="172"/>
      <c r="N4" s="172"/>
      <c r="O4" s="173"/>
    </row>
    <row r="5" spans="2:15" x14ac:dyDescent="0.3">
      <c r="B5" s="170"/>
      <c r="C5" s="171"/>
      <c r="D5" s="171"/>
      <c r="E5" s="171"/>
      <c r="F5" s="171"/>
      <c r="G5" s="171"/>
      <c r="H5" s="171"/>
      <c r="I5" s="171"/>
      <c r="J5" s="172"/>
      <c r="K5" s="172"/>
      <c r="L5" s="172"/>
      <c r="M5" s="172"/>
      <c r="N5" s="172"/>
      <c r="O5" s="173"/>
    </row>
    <row r="6" spans="2:15" x14ac:dyDescent="0.3">
      <c r="B6" s="170"/>
      <c r="C6" s="171"/>
      <c r="D6" s="171"/>
      <c r="E6" s="171"/>
      <c r="F6" s="171"/>
      <c r="G6" s="171"/>
      <c r="H6" s="171"/>
      <c r="I6" s="171"/>
      <c r="J6" s="172"/>
      <c r="K6" s="172"/>
      <c r="L6" s="172"/>
      <c r="M6" s="172"/>
      <c r="N6" s="172"/>
      <c r="O6" s="173"/>
    </row>
    <row r="7" spans="2:15" x14ac:dyDescent="0.3">
      <c r="B7" s="170"/>
      <c r="C7" s="171"/>
      <c r="D7" s="171"/>
      <c r="E7" s="171"/>
      <c r="F7" s="171"/>
      <c r="G7" s="171"/>
      <c r="H7" s="171"/>
      <c r="I7" s="171"/>
      <c r="J7" s="172"/>
      <c r="K7" s="172"/>
      <c r="L7" s="172"/>
      <c r="M7" s="172"/>
      <c r="N7" s="172"/>
      <c r="O7" s="173"/>
    </row>
    <row r="8" spans="2:15" x14ac:dyDescent="0.3">
      <c r="B8" s="170"/>
      <c r="C8" s="171"/>
      <c r="D8" s="171"/>
      <c r="E8" s="171"/>
      <c r="F8" s="171"/>
      <c r="G8" s="171"/>
      <c r="H8" s="171"/>
      <c r="I8" s="171"/>
      <c r="J8" s="172"/>
      <c r="K8" s="172"/>
      <c r="L8" s="172"/>
      <c r="M8" s="172"/>
      <c r="N8" s="172"/>
      <c r="O8" s="173"/>
    </row>
    <row r="9" spans="2:15" x14ac:dyDescent="0.3">
      <c r="B9" s="174"/>
      <c r="C9" s="172"/>
      <c r="D9" s="172"/>
      <c r="E9" s="172"/>
      <c r="F9" s="172"/>
      <c r="G9" s="172"/>
      <c r="H9" s="172"/>
      <c r="I9" s="172"/>
      <c r="J9" s="172"/>
      <c r="K9" s="172"/>
      <c r="L9" s="172"/>
      <c r="M9" s="172"/>
      <c r="N9" s="172"/>
      <c r="O9" s="173"/>
    </row>
    <row r="10" spans="2:15" x14ac:dyDescent="0.3">
      <c r="B10" s="174"/>
      <c r="C10" s="172"/>
      <c r="D10" s="172"/>
      <c r="E10" s="172"/>
      <c r="F10" s="172"/>
      <c r="G10" s="172"/>
      <c r="H10" s="172"/>
      <c r="I10" s="172"/>
      <c r="J10" s="172"/>
      <c r="K10" s="172"/>
      <c r="L10" s="172"/>
      <c r="M10" s="172"/>
      <c r="N10" s="172"/>
      <c r="O10" s="173"/>
    </row>
    <row r="11" spans="2:15" x14ac:dyDescent="0.3">
      <c r="B11" s="174"/>
      <c r="C11" s="172"/>
      <c r="D11" s="172"/>
      <c r="E11" s="172"/>
      <c r="F11" s="172"/>
      <c r="G11" s="172"/>
      <c r="H11" s="172"/>
      <c r="I11" s="172"/>
      <c r="J11" s="172"/>
      <c r="K11" s="172"/>
      <c r="L11" s="172"/>
      <c r="M11" s="172"/>
      <c r="N11" s="172"/>
      <c r="O11" s="173"/>
    </row>
    <row r="12" spans="2:15" x14ac:dyDescent="0.3">
      <c r="B12" s="174"/>
      <c r="C12" s="172"/>
      <c r="D12" s="172"/>
      <c r="E12" s="172"/>
      <c r="F12" s="172"/>
      <c r="G12" s="172"/>
      <c r="H12" s="172"/>
      <c r="I12" s="172"/>
      <c r="J12" s="172"/>
      <c r="K12" s="172"/>
      <c r="L12" s="172"/>
      <c r="M12" s="172"/>
      <c r="N12" s="172"/>
      <c r="O12" s="173"/>
    </row>
    <row r="13" spans="2:15" x14ac:dyDescent="0.3">
      <c r="B13" s="174"/>
      <c r="C13" s="172"/>
      <c r="D13" s="172"/>
      <c r="E13" s="172"/>
      <c r="F13" s="172"/>
      <c r="G13" s="172"/>
      <c r="H13" s="172"/>
      <c r="I13" s="172"/>
      <c r="J13" s="172"/>
      <c r="K13" s="172"/>
      <c r="L13" s="172"/>
      <c r="M13" s="172"/>
      <c r="N13" s="172"/>
      <c r="O13" s="173"/>
    </row>
    <row r="14" spans="2:15" x14ac:dyDescent="0.3">
      <c r="B14" s="174"/>
      <c r="C14" s="172"/>
      <c r="D14" s="172"/>
      <c r="E14" s="172"/>
      <c r="F14" s="172"/>
      <c r="G14" s="172"/>
      <c r="H14" s="172"/>
      <c r="I14" s="172"/>
      <c r="J14" s="172"/>
      <c r="K14" s="172"/>
      <c r="L14" s="172"/>
      <c r="M14" s="172"/>
      <c r="N14" s="172"/>
      <c r="O14" s="173"/>
    </row>
    <row r="15" spans="2:15" x14ac:dyDescent="0.3">
      <c r="B15" s="174"/>
      <c r="C15" s="172"/>
      <c r="D15" s="172"/>
      <c r="E15" s="172"/>
      <c r="F15" s="172"/>
      <c r="G15" s="172"/>
      <c r="H15" s="172"/>
      <c r="I15" s="172"/>
      <c r="J15" s="172"/>
      <c r="K15" s="172"/>
      <c r="L15" s="172"/>
      <c r="M15" s="172"/>
      <c r="N15" s="172"/>
      <c r="O15" s="173"/>
    </row>
    <row r="16" spans="2:15" x14ac:dyDescent="0.3">
      <c r="B16" s="175"/>
      <c r="C16" s="176"/>
      <c r="D16" s="176"/>
      <c r="E16" s="176"/>
      <c r="F16" s="176"/>
      <c r="G16" s="176"/>
      <c r="H16" s="176"/>
      <c r="I16" s="176"/>
      <c r="J16" s="176"/>
      <c r="K16" s="176"/>
      <c r="L16" s="176"/>
      <c r="M16" s="176"/>
      <c r="N16" s="176"/>
      <c r="O16" s="177"/>
    </row>
    <row r="18" spans="2:15" x14ac:dyDescent="0.3">
      <c r="B18" s="16" t="s">
        <v>146</v>
      </c>
      <c r="C18" s="16"/>
      <c r="D18" s="16"/>
      <c r="E18" s="16"/>
      <c r="F18" s="16"/>
      <c r="G18" s="16"/>
    </row>
    <row r="19" spans="2:15" x14ac:dyDescent="0.3">
      <c r="B19" s="166" t="s">
        <v>195</v>
      </c>
      <c r="C19" s="167"/>
      <c r="D19" s="167"/>
      <c r="E19" s="167"/>
      <c r="F19" s="167"/>
      <c r="G19" s="167"/>
      <c r="H19" s="167"/>
      <c r="I19" s="167"/>
      <c r="J19" s="168"/>
      <c r="K19" s="168"/>
      <c r="L19" s="168"/>
      <c r="M19" s="168"/>
      <c r="N19" s="168"/>
      <c r="O19" s="169"/>
    </row>
    <row r="20" spans="2:15" x14ac:dyDescent="0.3">
      <c r="B20" s="170"/>
      <c r="C20" s="171"/>
      <c r="D20" s="171"/>
      <c r="E20" s="171"/>
      <c r="F20" s="171"/>
      <c r="G20" s="171"/>
      <c r="H20" s="171"/>
      <c r="I20" s="171"/>
      <c r="J20" s="172"/>
      <c r="K20" s="172"/>
      <c r="L20" s="172"/>
      <c r="M20" s="172"/>
      <c r="N20" s="172"/>
      <c r="O20" s="173"/>
    </row>
    <row r="21" spans="2:15" x14ac:dyDescent="0.3">
      <c r="B21" s="170"/>
      <c r="C21" s="171"/>
      <c r="D21" s="171"/>
      <c r="E21" s="171"/>
      <c r="F21" s="171"/>
      <c r="G21" s="171"/>
      <c r="H21" s="171"/>
      <c r="I21" s="171"/>
      <c r="J21" s="172"/>
      <c r="K21" s="172"/>
      <c r="L21" s="172"/>
      <c r="M21" s="172"/>
      <c r="N21" s="172"/>
      <c r="O21" s="173"/>
    </row>
    <row r="22" spans="2:15" x14ac:dyDescent="0.3">
      <c r="B22" s="170"/>
      <c r="C22" s="171"/>
      <c r="D22" s="171"/>
      <c r="E22" s="171"/>
      <c r="F22" s="171"/>
      <c r="G22" s="171"/>
      <c r="H22" s="171"/>
      <c r="I22" s="171"/>
      <c r="J22" s="172"/>
      <c r="K22" s="172"/>
      <c r="L22" s="172"/>
      <c r="M22" s="172"/>
      <c r="N22" s="172"/>
      <c r="O22" s="173"/>
    </row>
    <row r="23" spans="2:15" x14ac:dyDescent="0.3">
      <c r="B23" s="170"/>
      <c r="C23" s="171"/>
      <c r="D23" s="171"/>
      <c r="E23" s="171"/>
      <c r="F23" s="171"/>
      <c r="G23" s="171"/>
      <c r="H23" s="171"/>
      <c r="I23" s="171"/>
      <c r="J23" s="172"/>
      <c r="K23" s="172"/>
      <c r="L23" s="172"/>
      <c r="M23" s="172"/>
      <c r="N23" s="172"/>
      <c r="O23" s="173"/>
    </row>
    <row r="24" spans="2:15" x14ac:dyDescent="0.3">
      <c r="B24" s="170"/>
      <c r="C24" s="171"/>
      <c r="D24" s="171"/>
      <c r="E24" s="171"/>
      <c r="F24" s="171"/>
      <c r="G24" s="171"/>
      <c r="H24" s="171"/>
      <c r="I24" s="171"/>
      <c r="J24" s="172"/>
      <c r="K24" s="172"/>
      <c r="L24" s="172"/>
      <c r="M24" s="172"/>
      <c r="N24" s="172"/>
      <c r="O24" s="173"/>
    </row>
    <row r="25" spans="2:15" x14ac:dyDescent="0.3">
      <c r="B25" s="174"/>
      <c r="C25" s="172"/>
      <c r="D25" s="172"/>
      <c r="E25" s="172"/>
      <c r="F25" s="172"/>
      <c r="G25" s="172"/>
      <c r="H25" s="172"/>
      <c r="I25" s="172"/>
      <c r="J25" s="172"/>
      <c r="K25" s="172"/>
      <c r="L25" s="172"/>
      <c r="M25" s="172"/>
      <c r="N25" s="172"/>
      <c r="O25" s="173"/>
    </row>
    <row r="26" spans="2:15" x14ac:dyDescent="0.3">
      <c r="B26" s="174"/>
      <c r="C26" s="172"/>
      <c r="D26" s="172"/>
      <c r="E26" s="172"/>
      <c r="F26" s="172"/>
      <c r="G26" s="172"/>
      <c r="H26" s="172"/>
      <c r="I26" s="172"/>
      <c r="J26" s="172"/>
      <c r="K26" s="172"/>
      <c r="L26" s="172"/>
      <c r="M26" s="172"/>
      <c r="N26" s="172"/>
      <c r="O26" s="173"/>
    </row>
    <row r="27" spans="2:15" x14ac:dyDescent="0.3">
      <c r="B27" s="174"/>
      <c r="C27" s="172"/>
      <c r="D27" s="172"/>
      <c r="E27" s="172"/>
      <c r="F27" s="172"/>
      <c r="G27" s="172"/>
      <c r="H27" s="172"/>
      <c r="I27" s="172"/>
      <c r="J27" s="172"/>
      <c r="K27" s="172"/>
      <c r="L27" s="172"/>
      <c r="M27" s="172"/>
      <c r="N27" s="172"/>
      <c r="O27" s="173"/>
    </row>
    <row r="28" spans="2:15" x14ac:dyDescent="0.3">
      <c r="B28" s="174"/>
      <c r="C28" s="172"/>
      <c r="D28" s="172"/>
      <c r="E28" s="172"/>
      <c r="F28" s="172"/>
      <c r="G28" s="172"/>
      <c r="H28" s="172"/>
      <c r="I28" s="172"/>
      <c r="J28" s="172"/>
      <c r="K28" s="172"/>
      <c r="L28" s="172"/>
      <c r="M28" s="172"/>
      <c r="N28" s="172"/>
      <c r="O28" s="173"/>
    </row>
    <row r="29" spans="2:15" x14ac:dyDescent="0.3">
      <c r="B29" s="174"/>
      <c r="C29" s="172"/>
      <c r="D29" s="172"/>
      <c r="E29" s="172"/>
      <c r="F29" s="172"/>
      <c r="G29" s="172"/>
      <c r="H29" s="172"/>
      <c r="I29" s="172"/>
      <c r="J29" s="172"/>
      <c r="K29" s="172"/>
      <c r="L29" s="172"/>
      <c r="M29" s="172"/>
      <c r="N29" s="172"/>
      <c r="O29" s="173"/>
    </row>
    <row r="30" spans="2:15" x14ac:dyDescent="0.3">
      <c r="B30" s="174"/>
      <c r="C30" s="172"/>
      <c r="D30" s="172"/>
      <c r="E30" s="172"/>
      <c r="F30" s="172"/>
      <c r="G30" s="172"/>
      <c r="H30" s="172"/>
      <c r="I30" s="172"/>
      <c r="J30" s="172"/>
      <c r="K30" s="172"/>
      <c r="L30" s="172"/>
      <c r="M30" s="172"/>
      <c r="N30" s="172"/>
      <c r="O30" s="173"/>
    </row>
    <row r="31" spans="2:15" x14ac:dyDescent="0.3">
      <c r="B31" s="174"/>
      <c r="C31" s="172"/>
      <c r="D31" s="172"/>
      <c r="E31" s="172"/>
      <c r="F31" s="172"/>
      <c r="G31" s="172"/>
      <c r="H31" s="172"/>
      <c r="I31" s="172"/>
      <c r="J31" s="172"/>
      <c r="K31" s="172"/>
      <c r="L31" s="172"/>
      <c r="M31" s="172"/>
      <c r="N31" s="172"/>
      <c r="O31" s="173"/>
    </row>
    <row r="32" spans="2:15" x14ac:dyDescent="0.3">
      <c r="B32" s="175"/>
      <c r="C32" s="176"/>
      <c r="D32" s="176"/>
      <c r="E32" s="176"/>
      <c r="F32" s="176"/>
      <c r="G32" s="176"/>
      <c r="H32" s="176"/>
      <c r="I32" s="176"/>
      <c r="J32" s="176"/>
      <c r="K32" s="176"/>
      <c r="L32" s="176"/>
      <c r="M32" s="176"/>
      <c r="N32" s="176"/>
      <c r="O32" s="177"/>
    </row>
    <row r="36" spans="2:8" x14ac:dyDescent="0.3">
      <c r="B36" s="139" t="s">
        <v>177</v>
      </c>
      <c r="C36" s="36"/>
      <c r="D36" s="36"/>
      <c r="E36" s="36"/>
    </row>
    <row r="37" spans="2:8" x14ac:dyDescent="0.3">
      <c r="B37" s="36"/>
      <c r="C37" s="36"/>
      <c r="D37" s="36"/>
      <c r="E37" s="36"/>
    </row>
    <row r="38" spans="2:8" x14ac:dyDescent="0.3">
      <c r="B38" s="140" t="s">
        <v>178</v>
      </c>
      <c r="C38" s="36"/>
      <c r="D38" s="36"/>
      <c r="E38" s="36"/>
      <c r="H38" s="141">
        <v>866861.82015441835</v>
      </c>
    </row>
    <row r="39" spans="2:8" x14ac:dyDescent="0.3">
      <c r="B39" s="140" t="s">
        <v>179</v>
      </c>
      <c r="C39" s="36"/>
      <c r="D39" s="36"/>
      <c r="E39" s="36"/>
      <c r="H39" s="141">
        <v>814692.70646999276</v>
      </c>
    </row>
    <row r="40" spans="2:8" x14ac:dyDescent="0.3">
      <c r="B40" s="140" t="s">
        <v>180</v>
      </c>
      <c r="C40" s="36"/>
      <c r="D40" s="36"/>
      <c r="E40" s="36"/>
      <c r="H40" s="141">
        <v>866849.1288613854</v>
      </c>
    </row>
    <row r="41" spans="2:8" x14ac:dyDescent="0.3">
      <c r="B41" s="140" t="s">
        <v>181</v>
      </c>
      <c r="C41" s="36"/>
      <c r="D41" s="36"/>
      <c r="E41" s="36"/>
      <c r="H41" s="141">
        <v>710637.1494453334</v>
      </c>
    </row>
    <row r="42" spans="2:8" x14ac:dyDescent="0.3">
      <c r="B42" s="140" t="s">
        <v>182</v>
      </c>
      <c r="C42" s="36"/>
      <c r="D42" s="36"/>
      <c r="E42" s="36"/>
      <c r="H42" s="142">
        <v>706802.13134064793</v>
      </c>
    </row>
    <row r="43" spans="2:8" x14ac:dyDescent="0.3">
      <c r="H43" s="143">
        <v>3965842.9362717783</v>
      </c>
    </row>
    <row r="46" spans="2:8" x14ac:dyDescent="0.3">
      <c r="B46" s="36" t="s">
        <v>183</v>
      </c>
      <c r="C46" s="36"/>
      <c r="D46" s="36"/>
      <c r="E46" s="36"/>
      <c r="F46" s="36"/>
      <c r="G46" s="36"/>
    </row>
    <row r="54" spans="2:2" x14ac:dyDescent="0.3">
      <c r="B54" t="s">
        <v>196</v>
      </c>
    </row>
    <row r="61" spans="2:2" x14ac:dyDescent="0.3">
      <c r="B61" t="s">
        <v>197</v>
      </c>
    </row>
  </sheetData>
  <mergeCells count="2">
    <mergeCell ref="B3:O16"/>
    <mergeCell ref="B19:O32"/>
  </mergeCells>
  <dataValidations disablePrompts="1" count="1">
    <dataValidation type="list" allowBlank="1" showInputMessage="1" sqref="B38:B42" xr:uid="{8742BFF5-4B2A-4B1E-8AE8-B3914246B2C4}">
      <formula1>"..."</formula1>
    </dataValidation>
  </dataValidations>
  <pageMargins left="0.7" right="0.7" top="0.75" bottom="0.75" header="0.3" footer="0.3"/>
  <pageSetup orientation="portrait" horizontalDpi="360" verticalDpi="360" r:id="rId1"/>
  <headerFooter>
    <oddHeader>&amp;LState of Colorado&amp;RDraft and Confidential</oddHeader>
    <oddFooter>&amp;L&amp;F | &amp;A&amp;R&amp;G</oddFooter>
  </headerFooter>
  <drawing r:id="rId2"/>
  <legacyDrawing r:id="rId3"/>
  <legacyDrawingHF r:id="rId4"/>
  <oleObjects>
    <mc:AlternateContent xmlns:mc="http://schemas.openxmlformats.org/markup-compatibility/2006">
      <mc:Choice Requires="x14">
        <oleObject progId="Acrobat Document" dvAspect="DVASPECT_ICON" shapeId="3073" r:id="rId5">
          <objectPr defaultSize="0" autoPict="0" r:id="rId6">
            <anchor moveWithCells="1">
              <from>
                <xdr:col>5</xdr:col>
                <xdr:colOff>114300</xdr:colOff>
                <xdr:row>48</xdr:row>
                <xdr:rowOff>60960</xdr:rowOff>
              </from>
              <to>
                <xdr:col>6</xdr:col>
                <xdr:colOff>411480</xdr:colOff>
                <xdr:row>51</xdr:row>
                <xdr:rowOff>167640</xdr:rowOff>
              </to>
            </anchor>
          </objectPr>
        </oleObject>
      </mc:Choice>
      <mc:Fallback>
        <oleObject progId="Acrobat Document" dvAspect="DVASPECT_ICON" shapeId="3073" r:id="rId5"/>
      </mc:Fallback>
    </mc:AlternateContent>
    <mc:AlternateContent xmlns:mc="http://schemas.openxmlformats.org/markup-compatibility/2006">
      <mc:Choice Requires="x14">
        <oleObject progId="Acrobat Document" dvAspect="DVASPECT_ICON" shapeId="3074" r:id="rId7">
          <objectPr defaultSize="0" autoPict="0" r:id="rId6">
            <anchor moveWithCells="1">
              <from>
                <xdr:col>5</xdr:col>
                <xdr:colOff>114300</xdr:colOff>
                <xdr:row>48</xdr:row>
                <xdr:rowOff>60960</xdr:rowOff>
              </from>
              <to>
                <xdr:col>6</xdr:col>
                <xdr:colOff>411480</xdr:colOff>
                <xdr:row>51</xdr:row>
                <xdr:rowOff>167640</xdr:rowOff>
              </to>
            </anchor>
          </objectPr>
        </oleObject>
      </mc:Choice>
      <mc:Fallback>
        <oleObject progId="Acrobat Document" dvAspect="DVASPECT_ICON" shapeId="3074" r:id="rId7"/>
      </mc:Fallback>
    </mc:AlternateContent>
    <mc:AlternateContent xmlns:mc="http://schemas.openxmlformats.org/markup-compatibility/2006">
      <mc:Choice Requires="x14">
        <oleObject progId="Acrobat Document" dvAspect="DVASPECT_ICON" shapeId="3075" r:id="rId8">
          <objectPr defaultSize="0" autoPict="0" r:id="rId6">
            <anchor moveWithCells="1">
              <from>
                <xdr:col>5</xdr:col>
                <xdr:colOff>114300</xdr:colOff>
                <xdr:row>48</xdr:row>
                <xdr:rowOff>60960</xdr:rowOff>
              </from>
              <to>
                <xdr:col>6</xdr:col>
                <xdr:colOff>411480</xdr:colOff>
                <xdr:row>51</xdr:row>
                <xdr:rowOff>175260</xdr:rowOff>
              </to>
            </anchor>
          </objectPr>
        </oleObject>
      </mc:Choice>
      <mc:Fallback>
        <oleObject progId="Acrobat Document" dvAspect="DVASPECT_ICON" shapeId="3075" r:id="rId8"/>
      </mc:Fallback>
    </mc:AlternateContent>
    <mc:AlternateContent xmlns:mc="http://schemas.openxmlformats.org/markup-compatibility/2006">
      <mc:Choice Requires="x14">
        <oleObject progId="Acrobat Document" dvAspect="DVASPECT_ICON" shapeId="3076" r:id="rId9">
          <objectPr defaultSize="0" autoPict="0" r:id="rId6">
            <anchor moveWithCells="1">
              <from>
                <xdr:col>5</xdr:col>
                <xdr:colOff>114300</xdr:colOff>
                <xdr:row>48</xdr:row>
                <xdr:rowOff>60960</xdr:rowOff>
              </from>
              <to>
                <xdr:col>6</xdr:col>
                <xdr:colOff>411480</xdr:colOff>
                <xdr:row>51</xdr:row>
                <xdr:rowOff>175260</xdr:rowOff>
              </to>
            </anchor>
          </objectPr>
        </oleObject>
      </mc:Choice>
      <mc:Fallback>
        <oleObject progId="Acrobat Document" dvAspect="DVASPECT_ICON" shapeId="3076" r:id="rId9"/>
      </mc:Fallback>
    </mc:AlternateContent>
    <mc:AlternateContent xmlns:mc="http://schemas.openxmlformats.org/markup-compatibility/2006">
      <mc:Choice Requires="x14">
        <oleObject progId="Acrobat Document" dvAspect="DVASPECT_ICON" shapeId="3077" r:id="rId10">
          <objectPr defaultSize="0" r:id="rId11">
            <anchor moveWithCells="1">
              <from>
                <xdr:col>5</xdr:col>
                <xdr:colOff>0</xdr:colOff>
                <xdr:row>55</xdr:row>
                <xdr:rowOff>0</xdr:rowOff>
              </from>
              <to>
                <xdr:col>6</xdr:col>
                <xdr:colOff>304800</xdr:colOff>
                <xdr:row>58</xdr:row>
                <xdr:rowOff>137160</xdr:rowOff>
              </to>
            </anchor>
          </objectPr>
        </oleObject>
      </mc:Choice>
      <mc:Fallback>
        <oleObject progId="Acrobat Document" dvAspect="DVASPECT_ICON" shapeId="3077" r:id="rId10"/>
      </mc:Fallback>
    </mc:AlternateContent>
    <mc:AlternateContent xmlns:mc="http://schemas.openxmlformats.org/markup-compatibility/2006">
      <mc:Choice Requires="x14">
        <oleObject progId="Worksheet" dvAspect="DVASPECT_ICON" shapeId="3078" r:id="rId12">
          <objectPr defaultSize="0" r:id="rId13">
            <anchor moveWithCells="1">
              <from>
                <xdr:col>5</xdr:col>
                <xdr:colOff>0</xdr:colOff>
                <xdr:row>62</xdr:row>
                <xdr:rowOff>0</xdr:rowOff>
              </from>
              <to>
                <xdr:col>6</xdr:col>
                <xdr:colOff>304800</xdr:colOff>
                <xdr:row>65</xdr:row>
                <xdr:rowOff>137160</xdr:rowOff>
              </to>
            </anchor>
          </objectPr>
        </oleObject>
      </mc:Choice>
      <mc:Fallback>
        <oleObject progId="Worksheet" dvAspect="DVASPECT_ICON" shapeId="3078" r:id="rId12"/>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heetViews>
  <sheetFormatPr defaultColWidth="8.77734375" defaultRowHeight="15" customHeight="1" x14ac:dyDescent="0.3"/>
  <cols>
    <col min="1" max="16384" width="8.77734375" style="36"/>
  </cols>
  <sheetData>
    <row r="2" spans="2:14" ht="15" customHeight="1" x14ac:dyDescent="0.3">
      <c r="B2" s="16" t="s">
        <v>49</v>
      </c>
    </row>
    <row r="3" spans="2:14" ht="15" customHeight="1" x14ac:dyDescent="0.3">
      <c r="B3" s="187"/>
      <c r="C3" s="179"/>
      <c r="D3" s="179"/>
      <c r="E3" s="179"/>
      <c r="F3" s="179"/>
      <c r="G3" s="179"/>
      <c r="H3" s="179"/>
      <c r="I3" s="179"/>
      <c r="J3" s="179"/>
      <c r="K3" s="179"/>
      <c r="L3" s="179"/>
      <c r="M3" s="179"/>
      <c r="N3" s="180"/>
    </row>
    <row r="4" spans="2:14" ht="15" customHeight="1" x14ac:dyDescent="0.3">
      <c r="B4" s="181"/>
      <c r="C4" s="182"/>
      <c r="D4" s="182"/>
      <c r="E4" s="182"/>
      <c r="F4" s="182"/>
      <c r="G4" s="182"/>
      <c r="H4" s="182"/>
      <c r="I4" s="182"/>
      <c r="J4" s="182"/>
      <c r="K4" s="182"/>
      <c r="L4" s="182"/>
      <c r="M4" s="182"/>
      <c r="N4" s="183"/>
    </row>
    <row r="5" spans="2:14" ht="15" customHeight="1" x14ac:dyDescent="0.3">
      <c r="B5" s="181"/>
      <c r="C5" s="182"/>
      <c r="D5" s="182"/>
      <c r="E5" s="182"/>
      <c r="F5" s="182"/>
      <c r="G5" s="182"/>
      <c r="H5" s="182"/>
      <c r="I5" s="182"/>
      <c r="J5" s="182"/>
      <c r="K5" s="182"/>
      <c r="L5" s="182"/>
      <c r="M5" s="182"/>
      <c r="N5" s="183"/>
    </row>
    <row r="6" spans="2:14" ht="15" customHeight="1" x14ac:dyDescent="0.3">
      <c r="B6" s="181"/>
      <c r="C6" s="182"/>
      <c r="D6" s="182"/>
      <c r="E6" s="182"/>
      <c r="F6" s="182"/>
      <c r="G6" s="182"/>
      <c r="H6" s="182"/>
      <c r="I6" s="182"/>
      <c r="J6" s="182"/>
      <c r="K6" s="182"/>
      <c r="L6" s="182"/>
      <c r="M6" s="182"/>
      <c r="N6" s="183"/>
    </row>
    <row r="7" spans="2:14" ht="15" customHeight="1" x14ac:dyDescent="0.3">
      <c r="B7" s="181"/>
      <c r="C7" s="182"/>
      <c r="D7" s="182"/>
      <c r="E7" s="182"/>
      <c r="F7" s="182"/>
      <c r="G7" s="182"/>
      <c r="H7" s="182"/>
      <c r="I7" s="182"/>
      <c r="J7" s="182"/>
      <c r="K7" s="182"/>
      <c r="L7" s="182"/>
      <c r="M7" s="182"/>
      <c r="N7" s="183"/>
    </row>
    <row r="8" spans="2:14" ht="15" customHeight="1" x14ac:dyDescent="0.3">
      <c r="B8" s="181"/>
      <c r="C8" s="182"/>
      <c r="D8" s="182"/>
      <c r="E8" s="182"/>
      <c r="F8" s="182"/>
      <c r="G8" s="182"/>
      <c r="H8" s="182"/>
      <c r="I8" s="182"/>
      <c r="J8" s="182"/>
      <c r="K8" s="182"/>
      <c r="L8" s="182"/>
      <c r="M8" s="182"/>
      <c r="N8" s="183"/>
    </row>
    <row r="9" spans="2:14" ht="15" customHeight="1" x14ac:dyDescent="0.3">
      <c r="B9" s="181"/>
      <c r="C9" s="182"/>
      <c r="D9" s="182"/>
      <c r="E9" s="182"/>
      <c r="F9" s="182"/>
      <c r="G9" s="182"/>
      <c r="H9" s="182"/>
      <c r="I9" s="182"/>
      <c r="J9" s="182"/>
      <c r="K9" s="182"/>
      <c r="L9" s="182"/>
      <c r="M9" s="182"/>
      <c r="N9" s="183"/>
    </row>
    <row r="10" spans="2:14" ht="15" customHeight="1" x14ac:dyDescent="0.3">
      <c r="B10" s="181"/>
      <c r="C10" s="182"/>
      <c r="D10" s="182"/>
      <c r="E10" s="182"/>
      <c r="F10" s="182"/>
      <c r="G10" s="182"/>
      <c r="H10" s="182"/>
      <c r="I10" s="182"/>
      <c r="J10" s="182"/>
      <c r="K10" s="182"/>
      <c r="L10" s="182"/>
      <c r="M10" s="182"/>
      <c r="N10" s="183"/>
    </row>
    <row r="11" spans="2:14" ht="15" customHeight="1" x14ac:dyDescent="0.3">
      <c r="B11" s="181"/>
      <c r="C11" s="182"/>
      <c r="D11" s="182"/>
      <c r="E11" s="182"/>
      <c r="F11" s="182"/>
      <c r="G11" s="182"/>
      <c r="H11" s="182"/>
      <c r="I11" s="182"/>
      <c r="J11" s="182"/>
      <c r="K11" s="182"/>
      <c r="L11" s="182"/>
      <c r="M11" s="182"/>
      <c r="N11" s="183"/>
    </row>
    <row r="12" spans="2:14" ht="15" customHeight="1" x14ac:dyDescent="0.3">
      <c r="B12" s="181"/>
      <c r="C12" s="182"/>
      <c r="D12" s="182"/>
      <c r="E12" s="182"/>
      <c r="F12" s="182"/>
      <c r="G12" s="182"/>
      <c r="H12" s="182"/>
      <c r="I12" s="182"/>
      <c r="J12" s="182"/>
      <c r="K12" s="182"/>
      <c r="L12" s="182"/>
      <c r="M12" s="182"/>
      <c r="N12" s="183"/>
    </row>
    <row r="13" spans="2:14" ht="15" customHeight="1" x14ac:dyDescent="0.3">
      <c r="B13" s="181"/>
      <c r="C13" s="182"/>
      <c r="D13" s="182"/>
      <c r="E13" s="182"/>
      <c r="F13" s="182"/>
      <c r="G13" s="182"/>
      <c r="H13" s="182"/>
      <c r="I13" s="182"/>
      <c r="J13" s="182"/>
      <c r="K13" s="182"/>
      <c r="L13" s="182"/>
      <c r="M13" s="182"/>
      <c r="N13" s="183"/>
    </row>
    <row r="14" spans="2:14" ht="15" customHeight="1" x14ac:dyDescent="0.3">
      <c r="B14" s="181"/>
      <c r="C14" s="182"/>
      <c r="D14" s="182"/>
      <c r="E14" s="182"/>
      <c r="F14" s="182"/>
      <c r="G14" s="182"/>
      <c r="H14" s="182"/>
      <c r="I14" s="182"/>
      <c r="J14" s="182"/>
      <c r="K14" s="182"/>
      <c r="L14" s="182"/>
      <c r="M14" s="182"/>
      <c r="N14" s="183"/>
    </row>
    <row r="15" spans="2:14" ht="15" customHeight="1" x14ac:dyDescent="0.3">
      <c r="B15" s="181"/>
      <c r="C15" s="182"/>
      <c r="D15" s="182"/>
      <c r="E15" s="182"/>
      <c r="F15" s="182"/>
      <c r="G15" s="182"/>
      <c r="H15" s="182"/>
      <c r="I15" s="182"/>
      <c r="J15" s="182"/>
      <c r="K15" s="182"/>
      <c r="L15" s="182"/>
      <c r="M15" s="182"/>
      <c r="N15" s="183"/>
    </row>
    <row r="16" spans="2:14" ht="15" customHeight="1" x14ac:dyDescent="0.3">
      <c r="B16" s="181"/>
      <c r="C16" s="182"/>
      <c r="D16" s="182"/>
      <c r="E16" s="182"/>
      <c r="F16" s="182"/>
      <c r="G16" s="182"/>
      <c r="H16" s="182"/>
      <c r="I16" s="182"/>
      <c r="J16" s="182"/>
      <c r="K16" s="182"/>
      <c r="L16" s="182"/>
      <c r="M16" s="182"/>
      <c r="N16" s="183"/>
    </row>
    <row r="17" spans="2:14" ht="15" customHeight="1" x14ac:dyDescent="0.3">
      <c r="B17" s="181"/>
      <c r="C17" s="182"/>
      <c r="D17" s="182"/>
      <c r="E17" s="182"/>
      <c r="F17" s="182"/>
      <c r="G17" s="182"/>
      <c r="H17" s="182"/>
      <c r="I17" s="182"/>
      <c r="J17" s="182"/>
      <c r="K17" s="182"/>
      <c r="L17" s="182"/>
      <c r="M17" s="182"/>
      <c r="N17" s="183"/>
    </row>
    <row r="18" spans="2:14" ht="15" customHeight="1" x14ac:dyDescent="0.3">
      <c r="B18" s="181"/>
      <c r="C18" s="182"/>
      <c r="D18" s="182"/>
      <c r="E18" s="182"/>
      <c r="F18" s="182"/>
      <c r="G18" s="182"/>
      <c r="H18" s="182"/>
      <c r="I18" s="182"/>
      <c r="J18" s="182"/>
      <c r="K18" s="182"/>
      <c r="L18" s="182"/>
      <c r="M18" s="182"/>
      <c r="N18" s="183"/>
    </row>
    <row r="19" spans="2:14" ht="15" customHeight="1" x14ac:dyDescent="0.3">
      <c r="B19" s="181"/>
      <c r="C19" s="182"/>
      <c r="D19" s="182"/>
      <c r="E19" s="182"/>
      <c r="F19" s="182"/>
      <c r="G19" s="182"/>
      <c r="H19" s="182"/>
      <c r="I19" s="182"/>
      <c r="J19" s="182"/>
      <c r="K19" s="182"/>
      <c r="L19" s="182"/>
      <c r="M19" s="182"/>
      <c r="N19" s="183"/>
    </row>
    <row r="20" spans="2:14" ht="15" customHeight="1" x14ac:dyDescent="0.3">
      <c r="B20" s="181"/>
      <c r="C20" s="182"/>
      <c r="D20" s="182"/>
      <c r="E20" s="182"/>
      <c r="F20" s="182"/>
      <c r="G20" s="182"/>
      <c r="H20" s="182"/>
      <c r="I20" s="182"/>
      <c r="J20" s="182"/>
      <c r="K20" s="182"/>
      <c r="L20" s="182"/>
      <c r="M20" s="182"/>
      <c r="N20" s="183"/>
    </row>
    <row r="21" spans="2:14" ht="15" customHeight="1" x14ac:dyDescent="0.3">
      <c r="B21" s="184"/>
      <c r="C21" s="185"/>
      <c r="D21" s="185"/>
      <c r="E21" s="185"/>
      <c r="F21" s="185"/>
      <c r="G21" s="185"/>
      <c r="H21" s="185"/>
      <c r="I21" s="185"/>
      <c r="J21" s="185"/>
      <c r="K21" s="185"/>
      <c r="L21" s="185"/>
      <c r="M21" s="185"/>
      <c r="N21" s="186"/>
    </row>
    <row r="22" spans="2:14" ht="15" customHeight="1" x14ac:dyDescent="0.3">
      <c r="B22" s="40" t="s">
        <v>53</v>
      </c>
      <c r="C22" s="41"/>
      <c r="D22" s="41"/>
      <c r="E22" s="42"/>
      <c r="F22" s="42"/>
      <c r="G22" s="42"/>
      <c r="H22" s="42"/>
      <c r="I22" s="42"/>
      <c r="J22" s="42"/>
      <c r="K22" s="42"/>
      <c r="L22" s="42"/>
      <c r="M22" s="42"/>
      <c r="N22" s="43"/>
    </row>
    <row r="23" spans="2:14" ht="15" customHeight="1" x14ac:dyDescent="0.3">
      <c r="B23" s="178"/>
      <c r="C23" s="179"/>
      <c r="D23" s="179"/>
      <c r="E23" s="179"/>
      <c r="F23" s="179"/>
      <c r="G23" s="179"/>
      <c r="H23" s="179"/>
      <c r="I23" s="179"/>
      <c r="J23" s="179"/>
      <c r="K23" s="179"/>
      <c r="L23" s="179"/>
      <c r="M23" s="179"/>
      <c r="N23" s="180"/>
    </row>
    <row r="24" spans="2:14" ht="15" customHeight="1" x14ac:dyDescent="0.3">
      <c r="B24" s="181"/>
      <c r="C24" s="182"/>
      <c r="D24" s="182"/>
      <c r="E24" s="182"/>
      <c r="F24" s="182"/>
      <c r="G24" s="182"/>
      <c r="H24" s="182"/>
      <c r="I24" s="182"/>
      <c r="J24" s="182"/>
      <c r="K24" s="182"/>
      <c r="L24" s="182"/>
      <c r="M24" s="182"/>
      <c r="N24" s="183"/>
    </row>
    <row r="25" spans="2:14" ht="15" customHeight="1" x14ac:dyDescent="0.3">
      <c r="B25" s="181"/>
      <c r="C25" s="182"/>
      <c r="D25" s="182"/>
      <c r="E25" s="182"/>
      <c r="F25" s="182"/>
      <c r="G25" s="182"/>
      <c r="H25" s="182"/>
      <c r="I25" s="182"/>
      <c r="J25" s="182"/>
      <c r="K25" s="182"/>
      <c r="L25" s="182"/>
      <c r="M25" s="182"/>
      <c r="N25" s="183"/>
    </row>
    <row r="26" spans="2:14" ht="15" customHeight="1" x14ac:dyDescent="0.3">
      <c r="B26" s="181"/>
      <c r="C26" s="182"/>
      <c r="D26" s="182"/>
      <c r="E26" s="182"/>
      <c r="F26" s="182"/>
      <c r="G26" s="182"/>
      <c r="H26" s="182"/>
      <c r="I26" s="182"/>
      <c r="J26" s="182"/>
      <c r="K26" s="182"/>
      <c r="L26" s="182"/>
      <c r="M26" s="182"/>
      <c r="N26" s="183"/>
    </row>
    <row r="27" spans="2:14" ht="15" customHeight="1" x14ac:dyDescent="0.3">
      <c r="B27" s="181"/>
      <c r="C27" s="182"/>
      <c r="D27" s="182"/>
      <c r="E27" s="182"/>
      <c r="F27" s="182"/>
      <c r="G27" s="182"/>
      <c r="H27" s="182"/>
      <c r="I27" s="182"/>
      <c r="J27" s="182"/>
      <c r="K27" s="182"/>
      <c r="L27" s="182"/>
      <c r="M27" s="182"/>
      <c r="N27" s="183"/>
    </row>
    <row r="28" spans="2:14" ht="15" customHeight="1" x14ac:dyDescent="0.3">
      <c r="B28" s="181"/>
      <c r="C28" s="182"/>
      <c r="D28" s="182"/>
      <c r="E28" s="182"/>
      <c r="F28" s="182"/>
      <c r="G28" s="182"/>
      <c r="H28" s="182"/>
      <c r="I28" s="182"/>
      <c r="J28" s="182"/>
      <c r="K28" s="182"/>
      <c r="L28" s="182"/>
      <c r="M28" s="182"/>
      <c r="N28" s="183"/>
    </row>
    <row r="29" spans="2:14" ht="15" customHeight="1" x14ac:dyDescent="0.3">
      <c r="B29" s="181"/>
      <c r="C29" s="182"/>
      <c r="D29" s="182"/>
      <c r="E29" s="182"/>
      <c r="F29" s="182"/>
      <c r="G29" s="182"/>
      <c r="H29" s="182"/>
      <c r="I29" s="182"/>
      <c r="J29" s="182"/>
      <c r="K29" s="182"/>
      <c r="L29" s="182"/>
      <c r="M29" s="182"/>
      <c r="N29" s="183"/>
    </row>
    <row r="30" spans="2:14" ht="15" customHeight="1" x14ac:dyDescent="0.3">
      <c r="B30" s="181"/>
      <c r="C30" s="182"/>
      <c r="D30" s="182"/>
      <c r="E30" s="182"/>
      <c r="F30" s="182"/>
      <c r="G30" s="182"/>
      <c r="H30" s="182"/>
      <c r="I30" s="182"/>
      <c r="J30" s="182"/>
      <c r="K30" s="182"/>
      <c r="L30" s="182"/>
      <c r="M30" s="182"/>
      <c r="N30" s="183"/>
    </row>
    <row r="31" spans="2:14" ht="15" customHeight="1" x14ac:dyDescent="0.3">
      <c r="B31" s="181"/>
      <c r="C31" s="182"/>
      <c r="D31" s="182"/>
      <c r="E31" s="182"/>
      <c r="F31" s="182"/>
      <c r="G31" s="182"/>
      <c r="H31" s="182"/>
      <c r="I31" s="182"/>
      <c r="J31" s="182"/>
      <c r="K31" s="182"/>
      <c r="L31" s="182"/>
      <c r="M31" s="182"/>
      <c r="N31" s="183"/>
    </row>
    <row r="32" spans="2:14" ht="15" customHeight="1" x14ac:dyDescent="0.3">
      <c r="B32" s="181"/>
      <c r="C32" s="182"/>
      <c r="D32" s="182"/>
      <c r="E32" s="182"/>
      <c r="F32" s="182"/>
      <c r="G32" s="182"/>
      <c r="H32" s="182"/>
      <c r="I32" s="182"/>
      <c r="J32" s="182"/>
      <c r="K32" s="182"/>
      <c r="L32" s="182"/>
      <c r="M32" s="182"/>
      <c r="N32" s="183"/>
    </row>
    <row r="33" spans="2:14" ht="15" customHeight="1" x14ac:dyDescent="0.3">
      <c r="B33" s="181"/>
      <c r="C33" s="182"/>
      <c r="D33" s="182"/>
      <c r="E33" s="182"/>
      <c r="F33" s="182"/>
      <c r="G33" s="182"/>
      <c r="H33" s="182"/>
      <c r="I33" s="182"/>
      <c r="J33" s="182"/>
      <c r="K33" s="182"/>
      <c r="L33" s="182"/>
      <c r="M33" s="182"/>
      <c r="N33" s="183"/>
    </row>
    <row r="34" spans="2:14" ht="15" customHeight="1" x14ac:dyDescent="0.3">
      <c r="B34" s="181"/>
      <c r="C34" s="182"/>
      <c r="D34" s="182"/>
      <c r="E34" s="182"/>
      <c r="F34" s="182"/>
      <c r="G34" s="182"/>
      <c r="H34" s="182"/>
      <c r="I34" s="182"/>
      <c r="J34" s="182"/>
      <c r="K34" s="182"/>
      <c r="L34" s="182"/>
      <c r="M34" s="182"/>
      <c r="N34" s="183"/>
    </row>
    <row r="35" spans="2:14" ht="15" customHeight="1" x14ac:dyDescent="0.3">
      <c r="B35" s="181"/>
      <c r="C35" s="182"/>
      <c r="D35" s="182"/>
      <c r="E35" s="182"/>
      <c r="F35" s="182"/>
      <c r="G35" s="182"/>
      <c r="H35" s="182"/>
      <c r="I35" s="182"/>
      <c r="J35" s="182"/>
      <c r="K35" s="182"/>
      <c r="L35" s="182"/>
      <c r="M35" s="182"/>
      <c r="N35" s="183"/>
    </row>
    <row r="36" spans="2:14" ht="15" customHeight="1" x14ac:dyDescent="0.3">
      <c r="B36" s="181"/>
      <c r="C36" s="182"/>
      <c r="D36" s="182"/>
      <c r="E36" s="182"/>
      <c r="F36" s="182"/>
      <c r="G36" s="182"/>
      <c r="H36" s="182"/>
      <c r="I36" s="182"/>
      <c r="J36" s="182"/>
      <c r="K36" s="182"/>
      <c r="L36" s="182"/>
      <c r="M36" s="182"/>
      <c r="N36" s="183"/>
    </row>
    <row r="37" spans="2:14" ht="15" customHeight="1" x14ac:dyDescent="0.3">
      <c r="B37" s="181"/>
      <c r="C37" s="182"/>
      <c r="D37" s="182"/>
      <c r="E37" s="182"/>
      <c r="F37" s="182"/>
      <c r="G37" s="182"/>
      <c r="H37" s="182"/>
      <c r="I37" s="182"/>
      <c r="J37" s="182"/>
      <c r="K37" s="182"/>
      <c r="L37" s="182"/>
      <c r="M37" s="182"/>
      <c r="N37" s="183"/>
    </row>
    <row r="38" spans="2:14" ht="15" customHeight="1" x14ac:dyDescent="0.3">
      <c r="B38" s="181"/>
      <c r="C38" s="182"/>
      <c r="D38" s="182"/>
      <c r="E38" s="182"/>
      <c r="F38" s="182"/>
      <c r="G38" s="182"/>
      <c r="H38" s="182"/>
      <c r="I38" s="182"/>
      <c r="J38" s="182"/>
      <c r="K38" s="182"/>
      <c r="L38" s="182"/>
      <c r="M38" s="182"/>
      <c r="N38" s="183"/>
    </row>
    <row r="39" spans="2:14" ht="15" customHeight="1" x14ac:dyDescent="0.3">
      <c r="B39" s="181"/>
      <c r="C39" s="182"/>
      <c r="D39" s="182"/>
      <c r="E39" s="182"/>
      <c r="F39" s="182"/>
      <c r="G39" s="182"/>
      <c r="H39" s="182"/>
      <c r="I39" s="182"/>
      <c r="J39" s="182"/>
      <c r="K39" s="182"/>
      <c r="L39" s="182"/>
      <c r="M39" s="182"/>
      <c r="N39" s="183"/>
    </row>
    <row r="40" spans="2:14" ht="15" customHeight="1" x14ac:dyDescent="0.3">
      <c r="B40" s="181"/>
      <c r="C40" s="182"/>
      <c r="D40" s="182"/>
      <c r="E40" s="182"/>
      <c r="F40" s="182"/>
      <c r="G40" s="182"/>
      <c r="H40" s="182"/>
      <c r="I40" s="182"/>
      <c r="J40" s="182"/>
      <c r="K40" s="182"/>
      <c r="L40" s="182"/>
      <c r="M40" s="182"/>
      <c r="N40" s="183"/>
    </row>
    <row r="41" spans="2:14" ht="15" customHeight="1" x14ac:dyDescent="0.3">
      <c r="B41" s="184"/>
      <c r="C41" s="185"/>
      <c r="D41" s="185"/>
      <c r="E41" s="185"/>
      <c r="F41" s="185"/>
      <c r="G41" s="185"/>
      <c r="H41" s="185"/>
      <c r="I41" s="185"/>
      <c r="J41" s="185"/>
      <c r="K41" s="185"/>
      <c r="L41" s="185"/>
      <c r="M41" s="185"/>
      <c r="N41" s="186"/>
    </row>
  </sheetData>
  <mergeCells count="2">
    <mergeCell ref="B23:N41"/>
    <mergeCell ref="B3:N21"/>
  </mergeCells>
  <pageMargins left="0.7" right="0.7" top="0.75" bottom="0.75" header="0.3" footer="0.3"/>
  <pageSetup fitToHeight="0" orientation="landscape" r:id="rId1"/>
  <headerFooter>
    <oddHeader>&amp;LState of Colorado&amp;RDraft and Confidential</oddHeader>
    <oddFooter>&amp;L&amp;F | &amp;A&amp;R&amp;G</oddFooter>
  </headerFooter>
  <rowBreaks count="1" manualBreakCount="1">
    <brk id="21" min="1" max="13" man="1"/>
  </rowBreaks>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820EB-4ECF-4F0A-915E-EB2E025C5B84}">
  <dimension ref="A1:K21"/>
  <sheetViews>
    <sheetView workbookViewId="0"/>
  </sheetViews>
  <sheetFormatPr defaultRowHeight="14.4" x14ac:dyDescent="0.3"/>
  <cols>
    <col min="1" max="1" width="31.88671875" customWidth="1"/>
    <col min="2" max="11" width="18.6640625" customWidth="1"/>
  </cols>
  <sheetData>
    <row r="1" spans="1:11" x14ac:dyDescent="0.3">
      <c r="A1" t="s">
        <v>73</v>
      </c>
      <c r="B1" s="144">
        <f>'Report 1. MLR Data'!D32</f>
        <v>419414</v>
      </c>
      <c r="C1" s="144">
        <f>'Report 1. MLR Data'!E32</f>
        <v>919270</v>
      </c>
      <c r="D1" s="144">
        <f>'Report 1. MLR Data'!F32</f>
        <v>799655</v>
      </c>
      <c r="E1" s="144">
        <f>'Report 1. MLR Data'!G32</f>
        <v>162108</v>
      </c>
      <c r="F1" s="144">
        <f>'Report 1. MLR Data'!H32</f>
        <v>35310</v>
      </c>
      <c r="G1" s="144">
        <f>'Report 1. MLR Data'!I32</f>
        <v>55746</v>
      </c>
      <c r="H1" s="144">
        <f>'Report 1. MLR Data'!J32</f>
        <v>171737</v>
      </c>
      <c r="I1" s="144">
        <f>SUM(B1:H1)</f>
        <v>2563240</v>
      </c>
      <c r="J1" s="145">
        <f>'Report 1. MLR Data'!K32-I1</f>
        <v>0</v>
      </c>
    </row>
    <row r="2" spans="1:11" x14ac:dyDescent="0.3">
      <c r="B2" s="146"/>
    </row>
    <row r="3" spans="1:11" x14ac:dyDescent="0.3">
      <c r="A3" t="s">
        <v>184</v>
      </c>
    </row>
    <row r="4" spans="1:11" ht="43.2" x14ac:dyDescent="0.3">
      <c r="A4" s="147"/>
      <c r="B4" s="147" t="s">
        <v>55</v>
      </c>
      <c r="C4" s="147" t="s">
        <v>56</v>
      </c>
      <c r="D4" s="147" t="s">
        <v>37</v>
      </c>
      <c r="E4" s="147" t="s">
        <v>57</v>
      </c>
      <c r="F4" s="147" t="s">
        <v>58</v>
      </c>
      <c r="G4" s="147" t="s">
        <v>59</v>
      </c>
      <c r="H4" s="147" t="s">
        <v>60</v>
      </c>
      <c r="I4" s="147" t="s">
        <v>198</v>
      </c>
      <c r="J4" s="147"/>
      <c r="K4" s="147"/>
    </row>
    <row r="5" spans="1:11" x14ac:dyDescent="0.3">
      <c r="A5" t="s">
        <v>185</v>
      </c>
      <c r="B5" s="148">
        <f>'Report 1. MLR Data'!D9</f>
        <v>21813722.139999997</v>
      </c>
      <c r="C5" s="148">
        <f>'Report 1. MLR Data'!E9</f>
        <v>31457419.400000002</v>
      </c>
      <c r="D5" s="148">
        <f>'Report 1. MLR Data'!F9</f>
        <v>55975850</v>
      </c>
      <c r="E5" s="148">
        <f>'Report 1. MLR Data'!G9</f>
        <v>5073980.3999999994</v>
      </c>
      <c r="F5" s="148">
        <f>'Report 1. MLR Data'!H9</f>
        <v>5666548.7999999998</v>
      </c>
      <c r="G5" s="148">
        <f>'Report 1. MLR Data'!I9</f>
        <v>923153.76</v>
      </c>
      <c r="H5" s="148">
        <f>'Report 1. MLR Data'!J9</f>
        <v>16639597.930000002</v>
      </c>
      <c r="I5" s="148">
        <f>SUM(B5:H5)</f>
        <v>137550272.43000001</v>
      </c>
      <c r="J5" s="144">
        <f>'Report 1. MLR Data'!K9-I5</f>
        <v>0</v>
      </c>
      <c r="K5" t="s">
        <v>186</v>
      </c>
    </row>
    <row r="6" spans="1:11" x14ac:dyDescent="0.3">
      <c r="B6" s="143"/>
      <c r="C6" s="143"/>
      <c r="D6" s="143"/>
      <c r="E6" s="143"/>
      <c r="F6" s="143"/>
      <c r="G6" s="143"/>
      <c r="H6" s="143"/>
      <c r="I6" s="143"/>
      <c r="J6" s="144"/>
    </row>
    <row r="7" spans="1:11" x14ac:dyDescent="0.3">
      <c r="A7" t="s">
        <v>187</v>
      </c>
      <c r="B7" s="149">
        <f>'Report 1. MLR Data'!D28-'Report 1. MLR Data'!D24-'Report 1. MLR Data'!D23</f>
        <v>14569870.241511833</v>
      </c>
      <c r="C7" s="149">
        <f>'Report 1. MLR Data'!E28-'Report 1. MLR Data'!E24-'Report 1. MLR Data'!E23</f>
        <v>27479635.258829601</v>
      </c>
      <c r="D7" s="149">
        <f>'Report 1. MLR Data'!F28-'Report 1. MLR Data'!F24-'Report 1. MLR Data'!F23</f>
        <v>32787393.001222316</v>
      </c>
      <c r="E7" s="149">
        <f>'Report 1. MLR Data'!G28-'Report 1. MLR Data'!G24-'Report 1. MLR Data'!G23</f>
        <v>4689245.9268295253</v>
      </c>
      <c r="F7" s="149">
        <f>'Report 1. MLR Data'!H28-'Report 1. MLR Data'!H24-'Report 1. MLR Data'!H23</f>
        <v>4543251.7434790498</v>
      </c>
      <c r="G7" s="149">
        <f>'Report 1. MLR Data'!I28-'Report 1. MLR Data'!I24-'Report 1. MLR Data'!I23</f>
        <v>963460.53404542</v>
      </c>
      <c r="H7" s="149">
        <f>'Report 1. MLR Data'!J28-'Report 1. MLR Data'!J24-'Report 1. MLR Data'!J23</f>
        <v>8617740.711514296</v>
      </c>
      <c r="I7" s="148">
        <f>SUM(B7:H7)</f>
        <v>93650597.417432025</v>
      </c>
      <c r="J7" s="144">
        <f>'Report 1. MLR Data'!K28-'Report 1. MLR Data'!K24-'Report 1. MLR Data'!K23-I7</f>
        <v>0</v>
      </c>
    </row>
    <row r="8" spans="1:11" x14ac:dyDescent="0.3">
      <c r="B8" s="143"/>
      <c r="G8" s="146"/>
      <c r="H8" s="146"/>
      <c r="J8" s="144"/>
    </row>
    <row r="9" spans="1:11" x14ac:dyDescent="0.3">
      <c r="A9" t="s">
        <v>188</v>
      </c>
      <c r="B9" s="145">
        <v>1063863.7946425122</v>
      </c>
      <c r="C9" s="145">
        <v>2006509.9110187492</v>
      </c>
      <c r="D9" s="145">
        <v>2394072.1335549988</v>
      </c>
      <c r="E9" s="145">
        <v>342399.68393919966</v>
      </c>
      <c r="F9" s="145">
        <v>331739.47054536681</v>
      </c>
      <c r="G9" s="145">
        <v>70350.028019982172</v>
      </c>
      <c r="H9" s="145">
        <v>629250.78827919194</v>
      </c>
      <c r="I9" s="144">
        <f>SUM(B9:H9)</f>
        <v>6838185.8100000005</v>
      </c>
      <c r="J9" s="144">
        <v>0</v>
      </c>
    </row>
    <row r="10" spans="1:11" x14ac:dyDescent="0.3">
      <c r="J10" s="144"/>
    </row>
    <row r="11" spans="1:11" x14ac:dyDescent="0.3">
      <c r="A11" t="s">
        <v>184</v>
      </c>
      <c r="B11" s="144">
        <f>B5-B7-B9</f>
        <v>6179988.1038456522</v>
      </c>
      <c r="C11" s="144">
        <f t="shared" ref="C11:I11" si="0">C5-C7-C9</f>
        <v>1971274.2301516519</v>
      </c>
      <c r="D11" s="144">
        <f t="shared" si="0"/>
        <v>20794384.865222685</v>
      </c>
      <c r="E11" s="144">
        <f t="shared" si="0"/>
        <v>42334.78923127451</v>
      </c>
      <c r="F11" s="144">
        <f t="shared" si="0"/>
        <v>791557.58597558318</v>
      </c>
      <c r="G11" s="144">
        <f t="shared" si="0"/>
        <v>-110656.80206540217</v>
      </c>
      <c r="H11" s="144">
        <f t="shared" si="0"/>
        <v>7392606.430206514</v>
      </c>
      <c r="I11" s="144">
        <f t="shared" si="0"/>
        <v>37061489.20256798</v>
      </c>
      <c r="J11" s="144">
        <f>I11-SUM(B11:H11)</f>
        <v>0</v>
      </c>
    </row>
    <row r="12" spans="1:11" x14ac:dyDescent="0.3">
      <c r="J12" s="143"/>
    </row>
    <row r="13" spans="1:11" x14ac:dyDescent="0.3">
      <c r="A13" t="s">
        <v>189</v>
      </c>
      <c r="B13" s="150">
        <v>0.19542677367585701</v>
      </c>
      <c r="C13" s="150">
        <v>0.19542677367585701</v>
      </c>
      <c r="D13" s="150">
        <v>0.19542677367585701</v>
      </c>
      <c r="E13" s="150">
        <v>0.19542677367585701</v>
      </c>
      <c r="F13" s="150">
        <v>0.19542677367585701</v>
      </c>
      <c r="G13" s="150">
        <v>0.19542677367585701</v>
      </c>
      <c r="H13" s="150">
        <v>0.19542677367585701</v>
      </c>
      <c r="I13" s="150">
        <v>0.19542677367585701</v>
      </c>
      <c r="J13" s="143"/>
    </row>
    <row r="14" spans="1:11" x14ac:dyDescent="0.3">
      <c r="A14" t="s">
        <v>190</v>
      </c>
      <c r="B14" s="150">
        <v>3.6029521865201503E-2</v>
      </c>
      <c r="C14" s="150">
        <v>3.6029521865201503E-2</v>
      </c>
      <c r="D14" s="150">
        <v>3.6029521865201503E-2</v>
      </c>
      <c r="E14" s="150">
        <v>3.6029521865201503E-2</v>
      </c>
      <c r="F14" s="150">
        <v>3.6029521865201503E-2</v>
      </c>
      <c r="G14" s="150">
        <v>3.6029521865201503E-2</v>
      </c>
      <c r="H14" s="150">
        <v>3.6029521865201503E-2</v>
      </c>
      <c r="I14" s="150">
        <v>3.6029521865201503E-2</v>
      </c>
      <c r="J14" s="143"/>
    </row>
    <row r="15" spans="1:11" x14ac:dyDescent="0.3">
      <c r="J15" s="143"/>
    </row>
    <row r="16" spans="1:11" x14ac:dyDescent="0.3">
      <c r="A16" t="s">
        <v>191</v>
      </c>
      <c r="B16" s="143">
        <f>B11*B13</f>
        <v>1207735.1364897329</v>
      </c>
      <c r="C16" s="143">
        <f t="shared" ref="C16:I16" si="1">C11*C13</f>
        <v>385239.76282889611</v>
      </c>
      <c r="D16" s="143">
        <f t="shared" si="1"/>
        <v>4063779.5447845398</v>
      </c>
      <c r="E16" s="143">
        <f t="shared" si="1"/>
        <v>8273.3512737153924</v>
      </c>
      <c r="F16" s="143">
        <f t="shared" si="1"/>
        <v>154691.54520585801</v>
      </c>
      <c r="G16" s="143">
        <f t="shared" si="1"/>
        <v>-21625.301812929454</v>
      </c>
      <c r="H16" s="143">
        <f t="shared" si="1"/>
        <v>1444713.2237106536</v>
      </c>
      <c r="I16" s="143">
        <f t="shared" si="1"/>
        <v>7242807.2624804704</v>
      </c>
      <c r="J16" s="143"/>
    </row>
    <row r="17" spans="1:11" x14ac:dyDescent="0.3">
      <c r="A17" t="s">
        <v>192</v>
      </c>
      <c r="B17" s="142">
        <f>B11*B14</f>
        <v>222662.0165141921</v>
      </c>
      <c r="C17" s="142">
        <f t="shared" ref="C17:I17" si="2">C11*C14</f>
        <v>71024.067977557206</v>
      </c>
      <c r="D17" s="142">
        <f t="shared" si="2"/>
        <v>749211.74417495588</v>
      </c>
      <c r="E17" s="142">
        <f t="shared" si="2"/>
        <v>1525.302214266902</v>
      </c>
      <c r="F17" s="142">
        <f t="shared" si="2"/>
        <v>28519.441351473393</v>
      </c>
      <c r="G17" s="142">
        <f t="shared" si="2"/>
        <v>-3986.9116695486823</v>
      </c>
      <c r="H17" s="142">
        <f t="shared" si="2"/>
        <v>266352.0750179548</v>
      </c>
      <c r="I17" s="142">
        <f t="shared" si="2"/>
        <v>1335307.7355808525</v>
      </c>
    </row>
    <row r="18" spans="1:11" x14ac:dyDescent="0.3">
      <c r="A18" t="s">
        <v>193</v>
      </c>
      <c r="B18" s="143">
        <f>SUM(B16:B17)</f>
        <v>1430397.153003925</v>
      </c>
      <c r="C18" s="143">
        <f t="shared" ref="C18:I18" si="3">SUM(C16:C17)</f>
        <v>456263.8308064533</v>
      </c>
      <c r="D18" s="143">
        <f t="shared" si="3"/>
        <v>4812991.2889594957</v>
      </c>
      <c r="E18" s="143">
        <f t="shared" si="3"/>
        <v>9798.6534879822939</v>
      </c>
      <c r="F18" s="143">
        <f t="shared" si="3"/>
        <v>183210.9865573314</v>
      </c>
      <c r="G18" s="143">
        <f t="shared" si="3"/>
        <v>-25612.213482478135</v>
      </c>
      <c r="H18" s="143">
        <f t="shared" si="3"/>
        <v>1711065.2987286085</v>
      </c>
      <c r="I18" s="143">
        <f t="shared" si="3"/>
        <v>8578114.9980613235</v>
      </c>
    </row>
    <row r="20" spans="1:11" x14ac:dyDescent="0.3">
      <c r="B20" s="151"/>
      <c r="C20" s="151"/>
      <c r="D20" s="151"/>
      <c r="E20" s="151"/>
      <c r="F20" s="151"/>
      <c r="G20" s="151"/>
      <c r="H20" s="151"/>
      <c r="I20" s="151"/>
    </row>
    <row r="21" spans="1:11" x14ac:dyDescent="0.3">
      <c r="A21" s="152" t="s">
        <v>194</v>
      </c>
      <c r="B21" s="153">
        <v>1430397.153003925</v>
      </c>
      <c r="C21" s="153">
        <v>456263.8308064533</v>
      </c>
      <c r="D21" s="153">
        <v>4812991.2889594957</v>
      </c>
      <c r="E21" s="153">
        <v>9798.6534879822939</v>
      </c>
      <c r="F21" s="153">
        <v>183210.9865573314</v>
      </c>
      <c r="G21" s="153">
        <v>-25612.213482478135</v>
      </c>
      <c r="H21" s="153">
        <v>1711065.2987286085</v>
      </c>
      <c r="I21" s="153">
        <v>8578114.9980613235</v>
      </c>
      <c r="J21" s="154"/>
      <c r="K21" s="15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Report 1. MLR Data</vt:lpstr>
      <vt:lpstr>Report 2. SUD RC Data</vt:lpstr>
      <vt:lpstr>Report 3. SUD Risk Corridor</vt:lpstr>
      <vt:lpstr>Report 4. MLR Calculation</vt:lpstr>
      <vt:lpstr>Report 5. Certification</vt:lpstr>
      <vt:lpstr>Report 6. QI Support</vt:lpstr>
      <vt:lpstr>RAE Scratch Sheet</vt:lpstr>
      <vt:lpstr>MCO Tax Calculation</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Fox, Patrick</cp:lastModifiedBy>
  <cp:lastPrinted>2021-12-13T19:40:04Z</cp:lastPrinted>
  <dcterms:created xsi:type="dcterms:W3CDTF">2015-11-05T21:44:37Z</dcterms:created>
  <dcterms:modified xsi:type="dcterms:W3CDTF">2023-01-13T18:45:27Z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