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M:\All Active Client Files\Q - Z\RMHP\Special Projects\Behavioral Health Integration\Financial Template v9 - SFY 23\RAE BH\LA Workpapers\"/>
    </mc:Choice>
  </mc:AlternateContent>
  <xr:revisionPtr revIDLastSave="0" documentId="13_ncr:1_{E69DD323-43E3-49D7-8238-B16206834A27}" xr6:coauthVersionLast="47" xr6:coauthVersionMax="47" xr10:uidLastSave="{00000000-0000-0000-0000-000000000000}"/>
  <bookViews>
    <workbookView xWindow="-120" yWindow="-120" windowWidth="29040" windowHeight="15840"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Report 5. Certification" sheetId="4" r:id="rId7"/>
    <sheet name="Credibility Table" sheetId="15" r:id="rId8"/>
    <sheet name="RAE Scratch Sheet" sheetId="16" r:id="rId9"/>
  </sheets>
  <definedNames>
    <definedName name="_xlnm.Print_Area" localSheetId="7">'Credibility Table'!$A$2:$E$19</definedName>
    <definedName name="_xlnm.Print_Area" localSheetId="0">Overview!$B$2:$I$85</definedName>
    <definedName name="_xlnm.Print_Area" localSheetId="8">'RAE Scratch Sheet'!$B$2:$N$34</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F23" i="1"/>
  <c r="G23" i="1"/>
  <c r="H23" i="1"/>
  <c r="I23" i="1"/>
  <c r="J23" i="1"/>
  <c r="D23" i="1"/>
  <c r="J21" i="1"/>
  <c r="I21" i="1"/>
  <c r="H21" i="1"/>
  <c r="G21" i="1"/>
  <c r="F21" i="1"/>
  <c r="E21" i="1"/>
  <c r="D21" i="1"/>
  <c r="D50" i="11"/>
  <c r="E11" i="1"/>
  <c r="F11" i="1"/>
  <c r="G11" i="1"/>
  <c r="H11" i="1"/>
  <c r="I11" i="1"/>
  <c r="J11" i="1"/>
  <c r="D11" i="1"/>
  <c r="E22" i="1" l="1"/>
  <c r="F22" i="1"/>
  <c r="G22" i="1"/>
  <c r="H22" i="1"/>
  <c r="I22" i="1"/>
  <c r="J22" i="1"/>
  <c r="D22" i="1"/>
  <c r="E24" i="1"/>
  <c r="F24" i="1"/>
  <c r="G24" i="1"/>
  <c r="H24" i="1"/>
  <c r="I24" i="1"/>
  <c r="J24" i="1"/>
  <c r="D24" i="1"/>
  <c r="K16" i="1" l="1"/>
  <c r="K12" i="1"/>
  <c r="K10" i="1"/>
  <c r="K9" i="1"/>
  <c r="K8" i="1"/>
  <c r="E26" i="1" l="1"/>
  <c r="H25" i="1"/>
  <c r="G26" i="1"/>
  <c r="J25" i="1"/>
  <c r="I26" i="1"/>
  <c r="D26" i="1"/>
  <c r="E25" i="1"/>
  <c r="F25" i="1"/>
  <c r="F26" i="1"/>
  <c r="K26" i="1" s="1"/>
  <c r="I25" i="1"/>
  <c r="D25" i="1"/>
  <c r="J26" i="1"/>
  <c r="G25" i="1"/>
  <c r="H26" i="1"/>
  <c r="K30" i="1"/>
  <c r="K29" i="1"/>
  <c r="K28" i="1"/>
  <c r="K27" i="1"/>
  <c r="K24" i="1"/>
  <c r="K23" i="1"/>
  <c r="K20" i="1"/>
  <c r="K19" i="1"/>
  <c r="K36" i="1"/>
  <c r="K37" i="1" s="1"/>
  <c r="C5" i="18"/>
  <c r="C3" i="18"/>
  <c r="C2" i="18"/>
  <c r="D54" i="18"/>
  <c r="D43" i="18"/>
  <c r="D55" i="18" s="1"/>
  <c r="C5" i="17"/>
  <c r="C3" i="17"/>
  <c r="C2" i="17"/>
  <c r="B43" i="11"/>
  <c r="C5" i="4"/>
  <c r="C5" i="11"/>
  <c r="C5" i="8"/>
  <c r="C5" i="1"/>
  <c r="K21" i="1" l="1"/>
  <c r="J31" i="1"/>
  <c r="G31" i="1"/>
  <c r="F31" i="1"/>
  <c r="I31" i="1"/>
  <c r="H31" i="1"/>
  <c r="K11" i="1"/>
  <c r="K13" i="1" s="1"/>
  <c r="B17" i="15"/>
  <c r="C17" i="15" s="1"/>
  <c r="K33" i="1" s="1"/>
  <c r="E31" i="1" l="1"/>
  <c r="K22" i="1"/>
  <c r="D31" i="1"/>
  <c r="K25" i="1"/>
  <c r="C3" i="1"/>
  <c r="K31" i="1" l="1"/>
  <c r="H18" i="1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N96" i="8" l="1"/>
  <c r="P96" i="8"/>
  <c r="F96" i="8"/>
  <c r="M96" i="8"/>
  <c r="O96" i="8"/>
  <c r="D96" i="8"/>
  <c r="E96" i="8"/>
  <c r="G96" i="8"/>
  <c r="H96" i="8"/>
  <c r="L96" i="8"/>
  <c r="E24" i="11"/>
  <c r="I16" i="11"/>
  <c r="I17" i="11"/>
  <c r="G19" i="11"/>
  <c r="D24" i="11"/>
  <c r="E19" i="11"/>
  <c r="I18" i="11"/>
  <c r="G24" i="11"/>
  <c r="H12" i="11"/>
  <c r="D19" i="11"/>
  <c r="D23" i="11"/>
  <c r="I9" i="11"/>
  <c r="I11" i="11"/>
  <c r="I25" i="11" s="1"/>
  <c r="H19" i="11"/>
  <c r="I10" i="11"/>
  <c r="H24" i="11"/>
  <c r="G12" i="11"/>
  <c r="F19" i="11"/>
  <c r="F12" i="11"/>
  <c r="F24" i="11"/>
  <c r="D12" i="11"/>
  <c r="E12" i="11"/>
  <c r="I23" i="11" l="1"/>
  <c r="G26" i="11"/>
  <c r="H26" i="11"/>
  <c r="F26" i="11"/>
  <c r="E26" i="11"/>
  <c r="I24" i="11"/>
  <c r="I19" i="11"/>
  <c r="J50" i="11" s="1"/>
  <c r="D26" i="11"/>
  <c r="I12" i="11"/>
  <c r="C2" i="4"/>
  <c r="C37" i="11" l="1"/>
  <c r="I26" i="11"/>
  <c r="D37" i="11" s="1"/>
  <c r="C2" i="1"/>
  <c r="E37" i="11" l="1"/>
  <c r="D51" i="11" s="1"/>
  <c r="D52" i="11" l="1"/>
  <c r="D53" i="11" s="1"/>
  <c r="D54" i="11"/>
  <c r="D56" i="11" s="1"/>
  <c r="D55" i="11" l="1"/>
  <c r="D58" i="11" l="1"/>
  <c r="K14" i="1" l="1"/>
  <c r="K15" i="1" s="1"/>
  <c r="K32" i="1" s="1"/>
  <c r="K34" i="1" s="1"/>
  <c r="K38" i="1" s="1"/>
  <c r="K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<sst xmlns="http://schemas.openxmlformats.org/spreadsheetml/2006/main" count="641" uniqueCount="298">
  <si>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</si>
  <si>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</si>
  <si>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</si>
  <si>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</si>
  <si>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</si>
  <si>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</si>
  <si>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</si>
  <si>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</si>
  <si>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</si>
  <si>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</si>
  <si>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</si>
  <si>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</si>
  <si>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</si>
  <si>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</si>
  <si>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</si>
  <si>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</si>
  <si>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</si>
  <si>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</si>
  <si>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</si>
  <si>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</si>
  <si>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</si>
  <si>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</si>
  <si>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</si>
  <si>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</si>
  <si>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</si>
  <si>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</si>
  <si>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</si>
  <si>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</si>
  <si>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</si>
  <si>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</si>
  <si>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</si>
  <si>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</si>
  <si>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</si>
  <si>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</si>
  <si>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</si>
  <si>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</si>
  <si>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</si>
  <si>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</si>
  <si>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</si>
  <si>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</si>
  <si>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</si>
  <si>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</si>
  <si>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</si>
  <si>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</si>
  <si>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</si>
  <si>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</si>
  <si>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</si>
  <si>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</si>
  <si>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</si>
  <si>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</si>
  <si>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</si>
  <si>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</si>
  <si>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</si>
  <si>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</si>
  <si>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</si>
  <si>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</si>
  <si>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</si>
  <si>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</si>
  <si>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</si>
  <si>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</si>
  <si>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</si>
  <si>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</si>
  <si>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</si>
  <si>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</si>
  <si>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</si>
  <si>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</si>
  <si>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</si>
  <si>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</si>
  <si>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</si>
  <si>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</si>
  <si>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</si>
  <si>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</si>
  <si>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</si>
  <si>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</si>
  <si>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</si>
  <si>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</si>
  <si>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</si>
  <si>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</si>
  <si>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</si>
  <si>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</si>
  <si>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</si>
  <si>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</si>
  <si>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</si>
  <si>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</si>
  <si>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</si>
  <si>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</si>
  <si>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</si>
  <si>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</si>
  <si>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</si>
  <si>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</si>
  <si>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</si>
  <si>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</si>
  <si>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</si>
  <si>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</si>
  <si>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</si>
  <si>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</si>
  <si>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</si>
  <si>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</si>
  <si>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</si>
  <si>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</si>
  <si>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</si>
  <si>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</si>
  <si>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</si>
  <si>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</si>
  <si>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</si>
  <si>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</si>
  <si>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</si>
  <si>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</si>
  <si>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</si>
  <si>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</si>
  <si>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</si>
  <si>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</si>
  <si>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</si>
  <si>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</si>
  <si>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</si>
  <si>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</si>
  <si>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</si>
  <si>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</si>
  <si>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</si>
  <si>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</si>
  <si>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</si>
  <si>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</si>
  <si>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</si>
  <si>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</si>
  <si>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</si>
  <si>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</si>
  <si>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</si>
  <si>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</si>
  <si>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</si>
  <si>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</si>
  <si>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</si>
  <si>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</si>
  <si>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</si>
  <si>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</si>
  <si>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</si>
  <si>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</si>
  <si>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</si>
  <si>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</si>
  <si>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</si>
  <si>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</si>
  <si>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</si>
  <si>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</si>
  <si>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</si>
  <si>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</si>
  <si>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</si>
  <si>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</si>
  <si>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</si>
  <si>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</si>
  <si>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</si>
  <si>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</si>
  <si>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</si>
  <si>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</si>
  <si>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</si>
  <si>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</si>
  <si>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</si>
  <si>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</si>
  <si>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</si>
  <si>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</si>
  <si>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</si>
  <si>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</si>
  <si>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</si>
  <si>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</si>
  <si>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</si>
  <si>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</si>
  <si>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</si>
  <si>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</si>
  <si>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</si>
  <si>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</si>
  <si>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</si>
  <si>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</si>
  <si>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</si>
  <si>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</si>
  <si>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</si>
  <si>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</si>
  <si>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</si>
  <si>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</si>
  <si>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</si>
  <si>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</si>
  <si>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</si>
  <si>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</si>
  <si>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</si>
  <si>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</si>
  <si>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</si>
  <si>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</si>
  <si>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</si>
  <si>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</si>
  <si>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</si>
  <si>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</si>
  <si>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</si>
  <si>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</si>
  <si>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</si>
  <si>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</si>
  <si>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</si>
  <si>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</si>
  <si>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</si>
  <si>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</si>
  <si>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</si>
  <si>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</si>
  <si>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</si>
  <si>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</si>
  <si>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</si>
  <si>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</si>
  <si>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</si>
  <si>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</si>
  <si>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</si>
  <si>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</si>
  <si>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</si>
  <si>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</si>
  <si>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</si>
  <si>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</si>
  <si>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</si>
  <si>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</si>
  <si>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</si>
  <si>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</si>
  <si>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</si>
  <si>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</si>
  <si>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</si>
  <si>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</si>
  <si>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</si>
  <si>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</si>
  <si>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</si>
  <si>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</si>
  <si>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</si>
  <si>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</si>
  <si>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</si>
  <si>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</si>
  <si>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</si>
  <si>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</si>
  <si>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</si>
  <si>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</si>
  <si>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</si>
  <si>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</si>
  <si>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</si>
  <si>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</si>
  <si>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</si>
  <si>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</si>
  <si>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</si>
  <si>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</si>
  <si>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</si>
  <si>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</si>
  <si>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</si>
  <si>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</si>
  <si>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</si>
  <si>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</si>
  <si>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</si>
  <si>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</si>
  <si>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</si>
  <si>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</si>
  <si>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</si>
  <si>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</si>
  <si>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</si>
  <si>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</si>
  <si>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</si>
  <si>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</si>
  <si>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</si>
  <si>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</si>
  <si>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</si>
  <si>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</si>
  <si>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</si>
  <si>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</si>
  <si>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</si>
  <si>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</si>
  <si>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</si>
  <si>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</si>
  <si>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</si>
  <si>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</si>
  <si>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</si>
  <si>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</si>
  <si>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</si>
  <si>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</si>
  <si>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</si>
  <si>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</si>
  <si>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</si>
  <si>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</si>
  <si>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</si>
  <si>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</si>
  <si>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</si>
  <si>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Rocky Mountain Health Plans</t>
  </si>
  <si>
    <t>Region 01</t>
  </si>
  <si>
    <t>In order for an activity to be considered as an Improving Health Care Quality Activity, per MLR regulations, it must be primarily designed to meet one of the following five goals:
1.  Improve health outcomes
      a.) Making/verifying appoints
      b.) Medication &amp; compliance initiatives
      c.) Arranging and managing transitions from one setting to another
      d.) Programs to support shared decision making with patients, their families reps  
      e.) Reminding member of physicians appointment, lab tests or other appropriate contact
      f.) Coaching or other support to encourage compliance with evidence-based medicine
      g.) Education and participation in self management programs
      h.) Accreditation fees by a nationally recognized accrediting entity directly related to quality of care activities
      i.) Costs associated with identifying and addressing ethnic, cultural or racial disparities in effectiveness of identified best clinical practices and evidence based medicine
2.  Prevent hospital readmissions 
     a.) Comprehensive discharge planning
     b.) Personalized post discharge counseling by an appropriate healthcare professional
     c.) Any quality reporting and related documentation in non-electronic format
3.  Improve patient safety, reduce medical errors, lower infection and mortality rates
     a.) Appropriate identification and use of best clinical practices to avoid harm
     b.) Activities to identify and encourage evidence based medicine in addressing independently identified and documented clinical errors or safety concerns, activities to lower risk of facility aquired infections
     c.) Prospectve prescription drug utilization review aimed at identifying potential adverse drug interactions
4.  Implement, promote and increase wellness health activities
     a.) Wellness Assessment
     b.) Wellness/lifestyle coaching programs designed to achieve specific and measurable improvements, coaching programs designed to educate individuals on clinically effective methods for dealing with specific chronic disease or condition
     c.) Public health education campaigns that are performed in conjunction with state or local health depts.
     d.) Coaching or education programs and health promotion activities designed to change member behavior (e.g. smoking, obesity)
5.  Enhance the use of health care data to improve quality, transparency and outcomes and support meaningful use of health information technology
     a.) Monitoring, measuring, or reporting clinical effectiveness including reporting and analysis costs related to maintaining accreditation by nationally recognized entity (e.g. NCQA or URAC), costs for public reporting of quality of care, including costs specifically required to make accurate determinations of defined measures (e.g. CAHPS surveys or HEDIS measures &amp; costs)
    b.) Advancing the ability of members, providers, and insurers to communicate patient centered clinical or medical information rapidly, accurately and efficiently to determine patient status, avoid harmful drug interations, or direct appropriate care
   c.) Tracking whether a specific class of medical interventions or a bunding of related services leads to better patient outcomes
   d.) Reformatting, transmitting, or reporting data to national government based health orgs for purpose of identitfying or treating specific conditions or controlling spread of disease
   e.) Provision of electronic health records and patient portal</t>
  </si>
  <si>
    <t>See formulas.  
Some are allocated as a % of claims (like IBNR), while others are allocated as a % of revenue (like Taxes, Indirect Claim Costs and Activities that Improve Health Care Quality), while others are allocated as a % of membership (like Medical Incentive Bonus).</t>
  </si>
  <si>
    <t>Other Admin Costs includes both the non-capitalizable costs associated with the claims system migration and the RMHP direct FTE costs for IT for items such as desk tops, laptops, service/cloud space, IT help desk, and software usage fees.</t>
  </si>
  <si>
    <t>for SUD</t>
  </si>
  <si>
    <t>Grand Total</t>
  </si>
  <si>
    <t>IBNR</t>
  </si>
  <si>
    <t>Revised</t>
  </si>
  <si>
    <t>MRT 6A #2</t>
  </si>
  <si>
    <t>MRT 6A #5</t>
  </si>
  <si>
    <t>MRT 6A #6</t>
  </si>
  <si>
    <t>Mind Springs Health SUD Recon</t>
  </si>
  <si>
    <t>SUD Value Based Incentive</t>
  </si>
  <si>
    <t>New Beginning &amp; North Range BH</t>
  </si>
  <si>
    <t>As paid through 11/30/23</t>
  </si>
  <si>
    <t>Adjusted for additional 2 months runout</t>
  </si>
  <si>
    <t>All numbers reported here are from the MRT as submitted previously to HCPF, except IBNR has been increased by $1,375,000 to account for</t>
  </si>
  <si>
    <t>higher than expected claims runout spend in Oct, Nov, Dec 2023, and remaining known claim issues - as detailed in part by RMHP on 12/29/23.</t>
  </si>
  <si>
    <t>Medical incentive bonuses have been reduced from that reported in the MRT.  MRT Tab 6A #7 estimated $702,946.81 was owed to West</t>
  </si>
  <si>
    <t>Springs.  That has since been reduced to $0 due to their missing required quality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</si>
</sst>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0.000%"/>
    <numFmt numFmtId="169" formatCode="&quot;$&quot;#,##0"/>
  </numFmts>
  <fonts count="27"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
      <b/>
      <sz val="11"/>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
      <patternFill patternType="solid">
        <fgColor theme="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165" fontId="5" fillId="2" borderId="1" xfId="1" applyNumberFormat="1" applyFont="1" applyFill="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5" fillId="0" borderId="1" xfId="0" applyFont="1" applyBorder="1" applyAlignment="1">
      <alignment horizontal="left"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43" fontId="4" fillId="2" borderId="1" xfId="3" applyFont="1" applyFill="1" applyBorder="1"/>
    <xf numFmtId="0" fontId="3" fillId="0" borderId="4" xfId="0" quotePrefix="1" applyFont="1" applyBorder="1" applyAlignment="1">
      <alignment horizontal="left"/>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2" fillId="3" borderId="1" xfId="0" quotePrefix="1" applyFont="1" applyFill="1" applyBorder="1" applyAlignment="1">
      <alignment horizontal="centerContinuous"/>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8" fontId="4" fillId="0" borderId="0" xfId="2" applyNumberFormat="1" applyFont="1"/>
    <xf numFmtId="168"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165" fontId="4" fillId="2" borderId="3" xfId="0" applyNumberFormat="1" applyFont="1" applyFill="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164" fontId="5" fillId="0" borderId="2" xfId="2" applyNumberFormat="1" applyFont="1" applyFill="1" applyBorder="1" applyAlignment="1">
      <alignment vertical="center"/>
    </xf>
    <xf numFmtId="164" fontId="5" fillId="0" borderId="2" xfId="2" applyNumberFormat="1" applyFont="1" applyBorder="1" applyAlignment="1">
      <alignment vertical="center"/>
    </xf>
    <xf numFmtId="164" fontId="5" fillId="0" borderId="2" xfId="0" applyNumberFormat="1" applyFont="1" applyBorder="1" applyAlignment="1">
      <alignment vertical="center"/>
    </xf>
    <xf numFmtId="0" fontId="4" fillId="0" borderId="24"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44" fontId="16" fillId="9" borderId="1" xfId="1" applyFont="1" applyFill="1" applyBorder="1"/>
    <xf numFmtId="0" fontId="3" fillId="5" borderId="1" xfId="0" applyFont="1" applyFill="1" applyBorder="1" applyAlignment="1">
      <alignment horizontal="center" vertical="center" wrapText="1"/>
    </xf>
    <xf numFmtId="164" fontId="4" fillId="5" borderId="1" xfId="2" applyNumberFormat="1" applyFont="1" applyFill="1" applyBorder="1" applyAlignment="1">
      <alignment vertical="center"/>
    </xf>
    <xf numFmtId="164" fontId="5" fillId="5" borderId="2" xfId="2" applyNumberFormat="1" applyFont="1" applyFill="1" applyBorder="1" applyAlignment="1">
      <alignment vertical="center"/>
    </xf>
    <xf numFmtId="164" fontId="5" fillId="5" borderId="2" xfId="0"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166" fontId="4" fillId="2" borderId="1" xfId="3" applyNumberFormat="1" applyFont="1" applyFill="1" applyBorder="1"/>
    <xf numFmtId="165" fontId="4" fillId="2" borderId="1" xfId="0" applyNumberFormat="1" applyFont="1" applyFill="1" applyBorder="1"/>
    <xf numFmtId="165" fontId="4" fillId="5" borderId="1" xfId="0" applyNumberFormat="1" applyFont="1" applyFill="1" applyBorder="1"/>
    <xf numFmtId="165" fontId="4" fillId="5" borderId="3" xfId="3" applyNumberFormat="1" applyFont="1" applyFill="1" applyBorder="1"/>
    <xf numFmtId="165" fontId="3" fillId="5" borderId="4" xfId="0" applyNumberFormat="1" applyFont="1" applyFill="1" applyBorder="1"/>
    <xf numFmtId="0" fontId="4" fillId="2" borderId="13" xfId="0" applyFont="1" applyFill="1" applyBorder="1" applyProtection="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4" fillId="2" borderId="16" xfId="0" applyFont="1" applyFill="1" applyBorder="1" applyProtection="1">
      <protection locked="0"/>
    </xf>
    <xf numFmtId="0" fontId="4" fillId="2" borderId="0" xfId="0" applyFont="1" applyFill="1" applyProtection="1">
      <protection locked="0"/>
    </xf>
    <xf numFmtId="0" fontId="4" fillId="2" borderId="17" xfId="0" applyFont="1" applyFill="1" applyBorder="1" applyProtection="1">
      <protection locked="0"/>
    </xf>
    <xf numFmtId="0" fontId="4" fillId="2" borderId="18" xfId="0" applyFont="1" applyFill="1" applyBorder="1" applyProtection="1">
      <protection locked="0"/>
    </xf>
    <xf numFmtId="0" fontId="4" fillId="2" borderId="19" xfId="0" applyFont="1" applyFill="1" applyBorder="1" applyProtection="1">
      <protection locked="0"/>
    </xf>
    <xf numFmtId="0" fontId="4" fillId="2" borderId="20" xfId="0" applyFont="1" applyFill="1" applyBorder="1" applyProtection="1">
      <protection locked="0"/>
    </xf>
    <xf numFmtId="43" fontId="4" fillId="10" borderId="1" xfId="3" applyFont="1" applyFill="1" applyBorder="1"/>
    <xf numFmtId="44" fontId="4" fillId="10" borderId="1" xfId="1" applyFont="1" applyFill="1" applyBorder="1"/>
    <xf numFmtId="43" fontId="4" fillId="0" borderId="0" xfId="0" applyNumberFormat="1" applyFont="1"/>
    <xf numFmtId="0" fontId="3" fillId="0" borderId="26" xfId="0" quotePrefix="1" applyFont="1" applyBorder="1" applyAlignment="1">
      <alignment horizontal="left"/>
    </xf>
    <xf numFmtId="43" fontId="3" fillId="0" borderId="26" xfId="3" applyFont="1" applyFill="1" applyBorder="1"/>
    <xf numFmtId="44" fontId="3" fillId="0" borderId="26" xfId="1" applyFont="1" applyFill="1" applyBorder="1"/>
    <xf numFmtId="165" fontId="4" fillId="0" borderId="1" xfId="0" applyNumberFormat="1" applyFont="1" applyBorder="1"/>
    <xf numFmtId="165" fontId="4" fillId="0" borderId="3" xfId="3" applyNumberFormat="1" applyFont="1" applyFill="1" applyBorder="1"/>
    <xf numFmtId="165" fontId="3" fillId="0" borderId="4" xfId="0" applyNumberFormat="1" applyFont="1" applyBorder="1"/>
    <xf numFmtId="165" fontId="5" fillId="0" borderId="1" xfId="1" applyNumberFormat="1" applyFont="1" applyFill="1" applyBorder="1" applyAlignment="1">
      <alignment vertical="center"/>
    </xf>
    <xf numFmtId="0" fontId="26" fillId="0" borderId="0" xfId="0" applyFont="1"/>
    <xf numFmtId="169" fontId="4" fillId="0" borderId="0" xfId="0" applyNumberFormat="1" applyFont="1"/>
    <xf numFmtId="165" fontId="10" fillId="0" borderId="1" xfId="1" applyNumberFormat="1" applyFont="1" applyBorder="1"/>
    <xf numFmtId="44" fontId="26" fillId="9" borderId="1" xfId="1" applyFont="1" applyFill="1" applyBorder="1"/>
    <xf numFmtId="0" fontId="10" fillId="0" borderId="0" xfId="0" applyFont="1"/>
    <xf numFmtId="169" fontId="10" fillId="0" borderId="0" xfId="0" applyNumberFormat="1" applyFont="1"/>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tabSelected="1" zoomScaleNormal="100" workbookViewId="0">
      <selection activeCell="C11" sqref="C11"/>
    </sheetView>
  </sheetViews>
  <sheetFormatPr defaultColWidth="8.7109375" defaultRowHeight="15" customHeight="1" x14ac:dyDescent="0.25"/>
  <cols>
    <col min="1" max="1" width="2.140625" customWidth="1"/>
    <col min="2" max="2" width="36.28515625" customWidth="1"/>
    <col min="3" max="3" width="25.7109375" customWidth="1"/>
    <col min="4" max="4" width="15.28515625" customWidth="1"/>
    <col min="5" max="5" width="40.7109375" customWidth="1"/>
    <col min="6" max="6" width="10.140625" customWidth="1"/>
    <col min="7" max="7" width="11" customWidth="1"/>
    <col min="8" max="8" width="14" customWidth="1"/>
    <col min="9" max="9" width="15.85546875" customWidth="1"/>
  </cols>
  <sheetData>
    <row r="2" spans="2:9" ht="18.75" x14ac:dyDescent="0.3">
      <c r="B2" s="97" t="s">
        <v>67</v>
      </c>
      <c r="C2" s="12"/>
      <c r="D2" s="12"/>
      <c r="E2" s="12"/>
      <c r="F2" s="12"/>
      <c r="G2" s="12"/>
    </row>
    <row r="3" spans="2:9" ht="15" customHeight="1" x14ac:dyDescent="0.25">
      <c r="B3" s="98"/>
      <c r="C3" s="12"/>
      <c r="D3" s="12"/>
      <c r="E3" s="12"/>
      <c r="F3" s="12"/>
      <c r="G3" s="12"/>
    </row>
    <row r="4" spans="2:9" ht="15" customHeight="1" thickBot="1" x14ac:dyDescent="0.3">
      <c r="B4" s="10" t="s">
        <v>22</v>
      </c>
      <c r="C4" s="12"/>
      <c r="D4" s="12"/>
      <c r="E4" s="12"/>
      <c r="F4" s="12"/>
      <c r="G4" s="12"/>
    </row>
    <row r="5" spans="2:9" ht="15" customHeight="1" x14ac:dyDescent="0.25">
      <c r="B5" s="13" t="s">
        <v>72</v>
      </c>
      <c r="C5" s="14"/>
      <c r="D5" s="14"/>
      <c r="E5" s="15"/>
      <c r="F5" s="12"/>
      <c r="G5" s="12"/>
    </row>
    <row r="6" spans="2:9" ht="15" customHeight="1" x14ac:dyDescent="0.25">
      <c r="B6" s="16" t="s">
        <v>66</v>
      </c>
      <c r="C6" s="12"/>
      <c r="D6" s="12"/>
      <c r="E6" s="17"/>
      <c r="F6" s="12"/>
      <c r="G6" s="12"/>
    </row>
    <row r="7" spans="2:9" ht="15" customHeight="1" x14ac:dyDescent="0.25">
      <c r="B7" s="16" t="s">
        <v>23</v>
      </c>
      <c r="C7" s="12"/>
      <c r="D7" s="12"/>
      <c r="E7" s="17"/>
      <c r="F7" s="12"/>
      <c r="G7" s="12"/>
    </row>
    <row r="8" spans="2:9" ht="15" customHeight="1" thickBot="1" x14ac:dyDescent="0.3">
      <c r="B8" s="28" t="s">
        <v>46</v>
      </c>
      <c r="C8" s="18"/>
      <c r="D8" s="18"/>
      <c r="E8" s="19"/>
      <c r="F8" s="12"/>
      <c r="G8" s="12"/>
    </row>
    <row r="9" spans="2:9" ht="15" customHeight="1" x14ac:dyDescent="0.25">
      <c r="B9" s="12"/>
      <c r="C9" s="12"/>
      <c r="D9" s="12"/>
      <c r="E9" s="12"/>
      <c r="F9" s="12"/>
      <c r="G9" s="12"/>
    </row>
    <row r="10" spans="2:9" ht="15" customHeight="1" thickBot="1" x14ac:dyDescent="0.3">
      <c r="B10" s="10" t="s">
        <v>24</v>
      </c>
      <c r="C10" s="12"/>
      <c r="D10" s="12"/>
      <c r="E10" s="12"/>
      <c r="F10" s="12"/>
      <c r="G10" s="12"/>
    </row>
    <row r="11" spans="2:9" ht="15" customHeight="1" x14ac:dyDescent="0.25">
      <c r="B11" s="32" t="s">
        <v>47</v>
      </c>
      <c r="C11" s="68" t="s">
        <v>277</v>
      </c>
      <c r="E11" s="12"/>
      <c r="F11" s="12"/>
      <c r="G11" s="12"/>
    </row>
    <row r="12" spans="2:9" ht="15" customHeight="1" x14ac:dyDescent="0.25">
      <c r="B12" s="20" t="s">
        <v>71</v>
      </c>
      <c r="C12" s="69" t="s">
        <v>278</v>
      </c>
      <c r="E12" s="12"/>
      <c r="F12" s="12"/>
      <c r="G12" s="12"/>
    </row>
    <row r="13" spans="2:9" ht="15" customHeight="1" x14ac:dyDescent="0.25">
      <c r="B13" s="67" t="s">
        <v>100</v>
      </c>
      <c r="C13" s="94" t="s">
        <v>91</v>
      </c>
      <c r="E13" s="12"/>
      <c r="F13" s="12"/>
      <c r="G13" s="12"/>
    </row>
    <row r="14" spans="2:9" ht="15" customHeight="1" thickBot="1" x14ac:dyDescent="0.3">
      <c r="B14" s="21" t="s">
        <v>25</v>
      </c>
      <c r="C14" s="70">
        <v>45199</v>
      </c>
      <c r="E14" s="12"/>
      <c r="F14" s="12"/>
      <c r="G14" s="12"/>
    </row>
    <row r="15" spans="2:9" ht="15" customHeight="1" x14ac:dyDescent="0.25">
      <c r="B15" s="12"/>
      <c r="C15" s="12"/>
      <c r="D15" s="12"/>
      <c r="E15" s="12"/>
      <c r="F15" s="12"/>
      <c r="G15" s="12"/>
    </row>
    <row r="16" spans="2:9" s="5" customFormat="1" ht="15" customHeight="1" thickBot="1" x14ac:dyDescent="0.25">
      <c r="B16" s="10" t="s">
        <v>113</v>
      </c>
      <c r="C16" s="12"/>
      <c r="D16" s="12"/>
      <c r="E16" s="12"/>
      <c r="F16" s="12"/>
      <c r="G16" s="12"/>
      <c r="H16" s="12"/>
      <c r="I16" s="12"/>
    </row>
    <row r="17" spans="2:10" s="5" customFormat="1" ht="15" customHeight="1" x14ac:dyDescent="0.2">
      <c r="B17" s="118" t="s">
        <v>114</v>
      </c>
      <c r="C17" s="119" t="s">
        <v>115</v>
      </c>
      <c r="D17" s="15"/>
      <c r="E17" s="12"/>
      <c r="F17" s="12"/>
      <c r="G17" s="12"/>
      <c r="H17" s="12"/>
      <c r="I17" s="12"/>
    </row>
    <row r="18" spans="2:10" s="5" customFormat="1" ht="15" customHeight="1" x14ac:dyDescent="0.2">
      <c r="B18" s="120" t="s">
        <v>116</v>
      </c>
      <c r="C18" s="22" t="s">
        <v>117</v>
      </c>
      <c r="D18" s="17"/>
      <c r="E18" s="12"/>
      <c r="F18" s="12"/>
      <c r="G18" s="12"/>
      <c r="H18" s="12"/>
      <c r="I18" s="12"/>
    </row>
    <row r="19" spans="2:10" s="5" customFormat="1" ht="15" customHeight="1" x14ac:dyDescent="0.2">
      <c r="B19" s="120" t="s">
        <v>118</v>
      </c>
      <c r="C19" s="22" t="s">
        <v>93</v>
      </c>
      <c r="D19" s="17"/>
      <c r="E19" s="12"/>
      <c r="F19" s="12"/>
      <c r="G19" s="12"/>
      <c r="H19" s="12"/>
      <c r="I19" s="12"/>
    </row>
    <row r="20" spans="2:10" s="5" customFormat="1" ht="15" customHeight="1" x14ac:dyDescent="0.2">
      <c r="B20" s="120" t="s">
        <v>123</v>
      </c>
      <c r="C20" s="22" t="s">
        <v>97</v>
      </c>
      <c r="D20" s="17"/>
      <c r="E20" s="12"/>
      <c r="F20" s="12"/>
      <c r="G20" s="12"/>
      <c r="H20" s="12"/>
      <c r="I20" s="12"/>
    </row>
    <row r="21" spans="2:10" s="5" customFormat="1" ht="15" customHeight="1" x14ac:dyDescent="0.2">
      <c r="B21" s="120" t="s">
        <v>124</v>
      </c>
      <c r="C21" s="22" t="s">
        <v>125</v>
      </c>
      <c r="D21" s="17"/>
      <c r="E21" s="12"/>
      <c r="F21" s="12"/>
      <c r="G21" s="12"/>
      <c r="H21" s="12"/>
      <c r="I21" s="12"/>
    </row>
    <row r="22" spans="2:10" s="5" customFormat="1" ht="15" customHeight="1" x14ac:dyDescent="0.2">
      <c r="B22" s="16" t="s">
        <v>122</v>
      </c>
      <c r="C22" s="12" t="s">
        <v>65</v>
      </c>
      <c r="D22" s="17"/>
      <c r="E22" s="12"/>
      <c r="F22" s="12"/>
      <c r="G22" s="12"/>
      <c r="H22" s="12"/>
      <c r="I22" s="12"/>
    </row>
    <row r="23" spans="2:10" s="5" customFormat="1" ht="15" customHeight="1" x14ac:dyDescent="0.2">
      <c r="B23" s="23" t="s">
        <v>119</v>
      </c>
      <c r="C23" s="12" t="s">
        <v>120</v>
      </c>
      <c r="D23" s="17"/>
      <c r="E23" s="12"/>
      <c r="F23" s="12"/>
      <c r="G23" s="12"/>
      <c r="H23" s="12"/>
      <c r="I23" s="12"/>
    </row>
    <row r="24" spans="2:10" s="5" customFormat="1" ht="15" customHeight="1" thickBot="1" x14ac:dyDescent="0.25">
      <c r="B24" s="24" t="s">
        <v>68</v>
      </c>
      <c r="C24" s="18" t="s">
        <v>121</v>
      </c>
      <c r="D24" s="19"/>
      <c r="E24" s="12"/>
      <c r="F24" s="12"/>
      <c r="G24" s="12"/>
      <c r="H24" s="12"/>
      <c r="I24" s="12"/>
    </row>
    <row r="25" spans="2:10" s="5" customFormat="1" ht="15" customHeight="1" x14ac:dyDescent="0.2">
      <c r="B25" s="12"/>
      <c r="C25" s="12"/>
      <c r="D25" s="12"/>
      <c r="E25" s="12"/>
      <c r="F25" s="12"/>
      <c r="G25" s="12"/>
      <c r="H25" s="12"/>
      <c r="I25" s="12"/>
    </row>
    <row r="26" spans="2:10" s="5" customFormat="1" ht="15" customHeight="1" thickBot="1" x14ac:dyDescent="0.25">
      <c r="B26" s="10" t="s">
        <v>26</v>
      </c>
      <c r="C26" s="12"/>
      <c r="D26" s="12"/>
      <c r="E26" s="12"/>
      <c r="F26" s="12"/>
      <c r="G26" s="12"/>
      <c r="H26" s="12"/>
      <c r="I26" s="12"/>
    </row>
    <row r="27" spans="2:10" s="5" customFormat="1" ht="15" customHeight="1" x14ac:dyDescent="0.2">
      <c r="B27" s="121" t="s">
        <v>126</v>
      </c>
      <c r="C27" s="122"/>
      <c r="D27" s="122"/>
      <c r="E27" s="122"/>
      <c r="F27" s="122"/>
      <c r="G27" s="122"/>
      <c r="H27" s="122"/>
      <c r="I27" s="123"/>
    </row>
    <row r="28" spans="2:10" s="5" customFormat="1" ht="15" customHeight="1" x14ac:dyDescent="0.2">
      <c r="B28" s="124" t="s">
        <v>127</v>
      </c>
      <c r="C28" s="125"/>
      <c r="D28" s="125"/>
      <c r="E28" s="125"/>
      <c r="F28" s="125"/>
      <c r="G28" s="125"/>
      <c r="H28" s="126"/>
      <c r="I28" s="127"/>
    </row>
    <row r="29" spans="2:10" s="5" customFormat="1" ht="15" customHeight="1" x14ac:dyDescent="0.2">
      <c r="B29" s="16" t="s">
        <v>128</v>
      </c>
      <c r="C29" s="126"/>
      <c r="D29" s="126"/>
      <c r="E29" s="126"/>
      <c r="F29" s="126"/>
      <c r="G29" s="126"/>
      <c r="H29" s="126"/>
      <c r="I29" s="127"/>
    </row>
    <row r="30" spans="2:10" s="5" customFormat="1" ht="15" customHeight="1" x14ac:dyDescent="0.2">
      <c r="B30" s="16" t="s">
        <v>129</v>
      </c>
      <c r="C30" s="126"/>
      <c r="D30" s="126"/>
      <c r="E30" s="126"/>
      <c r="F30" s="126"/>
      <c r="G30" s="126"/>
      <c r="H30" s="126"/>
      <c r="I30" s="127"/>
    </row>
    <row r="31" spans="2:10" s="5" customFormat="1" ht="15" customHeight="1" x14ac:dyDescent="0.2">
      <c r="B31" s="16" t="s">
        <v>156</v>
      </c>
      <c r="C31" s="126"/>
      <c r="D31" s="126"/>
      <c r="E31" s="126"/>
      <c r="F31" s="126"/>
      <c r="G31" s="126"/>
      <c r="H31" s="126"/>
      <c r="I31" s="127"/>
    </row>
    <row r="32" spans="2:10" s="5" customFormat="1" ht="15" customHeight="1" x14ac:dyDescent="0.2">
      <c r="B32" s="23" t="s">
        <v>130</v>
      </c>
      <c r="C32" s="126"/>
      <c r="D32" s="126"/>
      <c r="E32" s="126"/>
      <c r="F32" s="126"/>
      <c r="G32" s="126"/>
      <c r="H32" s="126"/>
      <c r="I32" s="127"/>
      <c r="J32" s="128"/>
    </row>
    <row r="33" spans="2:10" s="5" customFormat="1" ht="15" customHeight="1" x14ac:dyDescent="0.2">
      <c r="B33" s="16" t="s">
        <v>157</v>
      </c>
      <c r="C33" s="126"/>
      <c r="D33" s="126"/>
      <c r="E33" s="126"/>
      <c r="F33" s="126"/>
      <c r="G33" s="126"/>
      <c r="H33" s="126"/>
      <c r="I33" s="127"/>
    </row>
    <row r="34" spans="2:10" s="5" customFormat="1" ht="15" customHeight="1" x14ac:dyDescent="0.2">
      <c r="B34" s="23" t="s">
        <v>131</v>
      </c>
      <c r="C34" s="126"/>
      <c r="D34" s="126"/>
      <c r="E34" s="126"/>
      <c r="F34" s="126"/>
      <c r="G34" s="126"/>
      <c r="H34" s="126"/>
      <c r="I34" s="127"/>
      <c r="J34" s="128"/>
    </row>
    <row r="35" spans="2:10" s="5" customFormat="1" ht="15" customHeight="1" x14ac:dyDescent="0.2">
      <c r="B35" s="129" t="s">
        <v>132</v>
      </c>
      <c r="C35" s="126"/>
      <c r="D35" s="126"/>
      <c r="E35" s="126"/>
      <c r="F35" s="126"/>
      <c r="G35" s="126"/>
      <c r="H35" s="126"/>
      <c r="I35" s="127"/>
      <c r="J35" s="128"/>
    </row>
    <row r="36" spans="2:10" s="5" customFormat="1" ht="15" customHeight="1" x14ac:dyDescent="0.2">
      <c r="B36" s="23" t="s">
        <v>133</v>
      </c>
      <c r="C36" s="126"/>
      <c r="D36" s="126"/>
      <c r="E36" s="126"/>
      <c r="F36" s="126"/>
      <c r="G36" s="126"/>
      <c r="H36" s="126"/>
      <c r="I36" s="127"/>
    </row>
    <row r="37" spans="2:10" s="5" customFormat="1" ht="15" customHeight="1" x14ac:dyDescent="0.2">
      <c r="B37" s="16" t="s">
        <v>158</v>
      </c>
      <c r="C37" s="126"/>
      <c r="D37" s="126"/>
      <c r="E37" s="126"/>
      <c r="F37" s="126"/>
      <c r="G37" s="126"/>
      <c r="H37" s="126"/>
      <c r="I37" s="127"/>
    </row>
    <row r="38" spans="2:10" s="5" customFormat="1" ht="15" customHeight="1" x14ac:dyDescent="0.2">
      <c r="B38" s="23" t="s">
        <v>134</v>
      </c>
      <c r="C38" s="126"/>
      <c r="D38" s="126"/>
      <c r="E38" s="126"/>
      <c r="F38" s="126"/>
      <c r="G38" s="126"/>
      <c r="H38" s="126"/>
      <c r="I38" s="127"/>
    </row>
    <row r="39" spans="2:10" s="5" customFormat="1" ht="15" customHeight="1" x14ac:dyDescent="0.2">
      <c r="B39" s="130"/>
      <c r="C39" s="126"/>
      <c r="D39" s="126"/>
      <c r="E39" s="126"/>
      <c r="F39" s="126"/>
      <c r="G39" s="126"/>
      <c r="H39" s="126"/>
      <c r="I39" s="127"/>
    </row>
    <row r="40" spans="2:10" s="5" customFormat="1" ht="15" customHeight="1" x14ac:dyDescent="0.2">
      <c r="B40" s="131" t="s">
        <v>135</v>
      </c>
      <c r="C40" s="125"/>
      <c r="D40" s="125"/>
      <c r="E40" s="125"/>
      <c r="F40" s="125"/>
      <c r="G40" s="125"/>
      <c r="H40" s="125"/>
      <c r="I40" s="127"/>
    </row>
    <row r="41" spans="2:10" s="5" customFormat="1" ht="15" customHeight="1" x14ac:dyDescent="0.2">
      <c r="B41" s="16" t="s">
        <v>136</v>
      </c>
      <c r="C41" s="126"/>
      <c r="D41" s="126"/>
      <c r="E41" s="126"/>
      <c r="F41" s="126"/>
      <c r="G41" s="126"/>
      <c r="H41" s="126"/>
      <c r="I41" s="127"/>
      <c r="J41" s="128"/>
    </row>
    <row r="42" spans="2:10" s="5" customFormat="1" ht="15" customHeight="1" x14ac:dyDescent="0.2">
      <c r="B42" s="16" t="s">
        <v>159</v>
      </c>
      <c r="C42" s="126"/>
      <c r="D42" s="126"/>
      <c r="E42" s="126"/>
      <c r="F42" s="126"/>
      <c r="G42" s="126"/>
      <c r="H42" s="126"/>
      <c r="I42" s="127"/>
    </row>
    <row r="43" spans="2:10" s="5" customFormat="1" ht="15" customHeight="1" x14ac:dyDescent="0.2">
      <c r="B43" s="16" t="s">
        <v>160</v>
      </c>
      <c r="C43" s="126"/>
      <c r="D43" s="126"/>
      <c r="E43" s="126"/>
      <c r="F43" s="126"/>
      <c r="G43" s="126"/>
      <c r="H43" s="126"/>
      <c r="I43" s="127"/>
    </row>
    <row r="44" spans="2:10" s="5" customFormat="1" ht="15" customHeight="1" x14ac:dyDescent="0.2">
      <c r="B44" s="16" t="s">
        <v>137</v>
      </c>
      <c r="C44" s="126"/>
      <c r="D44" s="126"/>
      <c r="E44" s="126"/>
      <c r="F44" s="126"/>
      <c r="G44" s="126"/>
      <c r="H44" s="126"/>
      <c r="I44" s="127"/>
    </row>
    <row r="45" spans="2:10" s="5" customFormat="1" ht="15" customHeight="1" x14ac:dyDescent="0.2">
      <c r="B45" s="16" t="s">
        <v>138</v>
      </c>
      <c r="C45" s="126"/>
      <c r="D45" s="126"/>
      <c r="E45" s="126"/>
      <c r="F45" s="126"/>
      <c r="G45" s="126"/>
      <c r="H45" s="126"/>
      <c r="I45" s="127"/>
    </row>
    <row r="46" spans="2:10" s="5" customFormat="1" ht="15" customHeight="1" x14ac:dyDescent="0.2">
      <c r="B46" s="16" t="s">
        <v>139</v>
      </c>
      <c r="C46" s="126"/>
      <c r="D46" s="126"/>
      <c r="E46" s="126"/>
      <c r="F46" s="126"/>
      <c r="G46" s="126"/>
      <c r="H46" s="126"/>
      <c r="I46" s="127"/>
    </row>
    <row r="47" spans="2:10" s="5" customFormat="1" ht="15" customHeight="1" x14ac:dyDescent="0.2">
      <c r="B47" s="16" t="s">
        <v>165</v>
      </c>
      <c r="C47" s="126"/>
      <c r="D47" s="126"/>
      <c r="E47" s="126"/>
      <c r="F47" s="126"/>
      <c r="G47" s="126"/>
      <c r="H47" s="126"/>
      <c r="I47" s="127"/>
    </row>
    <row r="48" spans="2:10" s="5" customFormat="1" ht="15" customHeight="1" x14ac:dyDescent="0.2">
      <c r="B48" s="16" t="s">
        <v>161</v>
      </c>
      <c r="C48" s="126"/>
      <c r="D48" s="126"/>
      <c r="E48" s="126"/>
      <c r="F48" s="126"/>
      <c r="G48" s="126"/>
      <c r="H48" s="126"/>
      <c r="I48" s="127"/>
    </row>
    <row r="49" spans="2:9" s="5" customFormat="1" ht="15" customHeight="1" x14ac:dyDescent="0.2">
      <c r="B49" s="16" t="s">
        <v>140</v>
      </c>
      <c r="C49" s="126"/>
      <c r="D49" s="126"/>
      <c r="E49" s="126"/>
      <c r="F49" s="126"/>
      <c r="G49" s="126"/>
      <c r="H49" s="126"/>
      <c r="I49" s="127"/>
    </row>
    <row r="50" spans="2:9" s="5" customFormat="1" ht="15" customHeight="1" x14ac:dyDescent="0.2">
      <c r="B50" s="16" t="s">
        <v>141</v>
      </c>
      <c r="C50" s="126"/>
      <c r="D50" s="126"/>
      <c r="E50" s="126"/>
      <c r="F50" s="126"/>
      <c r="G50" s="126"/>
      <c r="H50" s="126"/>
      <c r="I50" s="127"/>
    </row>
    <row r="51" spans="2:9" s="5" customFormat="1" ht="15" customHeight="1" x14ac:dyDescent="0.2">
      <c r="B51" s="16" t="s">
        <v>142</v>
      </c>
      <c r="C51" s="126"/>
      <c r="D51" s="126"/>
      <c r="E51" s="126"/>
      <c r="F51" s="126"/>
      <c r="G51" s="126"/>
      <c r="H51" s="126"/>
      <c r="I51" s="127"/>
    </row>
    <row r="52" spans="2:9" s="5" customFormat="1" ht="15" customHeight="1" x14ac:dyDescent="0.2">
      <c r="B52" s="16" t="s">
        <v>143</v>
      </c>
      <c r="C52" s="126"/>
      <c r="D52" s="126"/>
      <c r="E52" s="126"/>
      <c r="F52" s="126"/>
      <c r="G52" s="126"/>
      <c r="H52" s="126"/>
      <c r="I52" s="127"/>
    </row>
    <row r="53" spans="2:9" s="5" customFormat="1" ht="15" customHeight="1" x14ac:dyDescent="0.2">
      <c r="B53" s="16" t="s">
        <v>166</v>
      </c>
      <c r="C53" s="126"/>
      <c r="D53" s="126"/>
      <c r="E53" s="126"/>
      <c r="F53" s="126"/>
      <c r="G53" s="126"/>
      <c r="H53" s="126"/>
      <c r="I53" s="127"/>
    </row>
    <row r="54" spans="2:9" s="5" customFormat="1" ht="15" customHeight="1" x14ac:dyDescent="0.2">
      <c r="B54" s="16" t="s">
        <v>144</v>
      </c>
      <c r="C54" s="126"/>
      <c r="D54" s="126"/>
      <c r="E54" s="126"/>
      <c r="F54" s="126"/>
      <c r="G54" s="126"/>
      <c r="H54" s="126"/>
      <c r="I54" s="127"/>
    </row>
    <row r="55" spans="2:9" s="5" customFormat="1" ht="15" customHeight="1" x14ac:dyDescent="0.2">
      <c r="B55" s="16" t="s">
        <v>276</v>
      </c>
      <c r="C55" s="126"/>
      <c r="D55" s="126"/>
      <c r="E55" s="126"/>
      <c r="F55" s="126"/>
      <c r="G55" s="126"/>
      <c r="H55" s="126"/>
      <c r="I55" s="127"/>
    </row>
    <row r="56" spans="2:9" s="5" customFormat="1" ht="15" customHeight="1" x14ac:dyDescent="0.2">
      <c r="B56" s="16" t="s">
        <v>145</v>
      </c>
      <c r="C56" s="126"/>
      <c r="D56" s="126"/>
      <c r="E56" s="126"/>
      <c r="F56" s="126"/>
      <c r="G56" s="126"/>
      <c r="H56" s="126"/>
      <c r="I56" s="127"/>
    </row>
    <row r="57" spans="2:9" s="5" customFormat="1" ht="15" customHeight="1" x14ac:dyDescent="0.2">
      <c r="B57" s="16" t="s">
        <v>146</v>
      </c>
      <c r="C57" s="126"/>
      <c r="D57" s="126"/>
      <c r="E57" s="126"/>
      <c r="F57" s="126"/>
      <c r="G57" s="126"/>
      <c r="H57" s="126"/>
      <c r="I57" s="127"/>
    </row>
    <row r="58" spans="2:9" s="5" customFormat="1" ht="15" customHeight="1" x14ac:dyDescent="0.2">
      <c r="B58" s="16" t="s">
        <v>147</v>
      </c>
      <c r="C58" s="126"/>
      <c r="D58" s="126"/>
      <c r="E58" s="126"/>
      <c r="F58" s="126"/>
      <c r="G58" s="126"/>
      <c r="H58" s="126"/>
      <c r="I58" s="127"/>
    </row>
    <row r="59" spans="2:9" s="5" customFormat="1" ht="15" customHeight="1" x14ac:dyDescent="0.2">
      <c r="B59" s="16"/>
      <c r="C59" s="126"/>
      <c r="D59" s="126"/>
      <c r="E59" s="126"/>
      <c r="F59" s="126"/>
      <c r="G59" s="126"/>
      <c r="H59" s="126"/>
      <c r="I59" s="127"/>
    </row>
    <row r="60" spans="2:9" s="5" customFormat="1" ht="15" customHeight="1" x14ac:dyDescent="0.2">
      <c r="B60" s="16" t="s">
        <v>148</v>
      </c>
      <c r="C60" s="126"/>
      <c r="D60" s="126"/>
      <c r="E60" s="126"/>
      <c r="F60" s="126"/>
      <c r="G60" s="126"/>
      <c r="H60" s="126"/>
      <c r="I60" s="127"/>
    </row>
    <row r="61" spans="2:9" s="5" customFormat="1" ht="15" customHeight="1" x14ac:dyDescent="0.2">
      <c r="B61" s="132" t="s">
        <v>149</v>
      </c>
      <c r="C61" s="126"/>
      <c r="D61" s="126"/>
      <c r="E61" s="126"/>
      <c r="F61" s="126"/>
      <c r="G61" s="126"/>
      <c r="H61" s="126"/>
      <c r="I61" s="127"/>
    </row>
    <row r="62" spans="2:9" s="5" customFormat="1" ht="15" customHeight="1" x14ac:dyDescent="0.2">
      <c r="B62" s="132" t="s">
        <v>32</v>
      </c>
      <c r="C62" s="126"/>
      <c r="D62" s="126"/>
      <c r="E62" s="126"/>
      <c r="F62" s="126"/>
      <c r="G62" s="126"/>
      <c r="H62" s="126"/>
      <c r="I62" s="127"/>
    </row>
    <row r="63" spans="2:9" s="5" customFormat="1" ht="15" customHeight="1" x14ac:dyDescent="0.2">
      <c r="B63" s="132" t="s">
        <v>150</v>
      </c>
      <c r="C63" s="126"/>
      <c r="D63" s="126"/>
      <c r="E63" s="126"/>
      <c r="F63" s="126"/>
      <c r="G63" s="126"/>
      <c r="H63" s="126"/>
      <c r="I63" s="127"/>
    </row>
    <row r="64" spans="2:9" s="5" customFormat="1" ht="15" customHeight="1" x14ac:dyDescent="0.2">
      <c r="B64" s="132"/>
      <c r="C64" s="126"/>
      <c r="D64" s="126"/>
      <c r="E64" s="126"/>
      <c r="F64" s="126"/>
      <c r="G64" s="126"/>
      <c r="H64" s="126"/>
      <c r="I64" s="127"/>
    </row>
    <row r="65" spans="2:9" s="5" customFormat="1" ht="15" customHeight="1" x14ac:dyDescent="0.2">
      <c r="B65" s="133" t="s">
        <v>151</v>
      </c>
      <c r="C65" s="126"/>
      <c r="D65" s="126"/>
      <c r="E65" s="126"/>
      <c r="F65" s="126"/>
      <c r="G65" s="126"/>
      <c r="H65" s="126"/>
      <c r="I65" s="127"/>
    </row>
    <row r="66" spans="2:9" s="5" customFormat="1" ht="15" customHeight="1" x14ac:dyDescent="0.2">
      <c r="B66" s="132" t="s">
        <v>152</v>
      </c>
      <c r="C66" s="126"/>
      <c r="D66" s="126"/>
      <c r="E66" s="126"/>
      <c r="F66" s="126"/>
      <c r="G66" s="126"/>
      <c r="H66" s="126"/>
      <c r="I66" s="127"/>
    </row>
    <row r="67" spans="2:9" s="5" customFormat="1" ht="15" customHeight="1" x14ac:dyDescent="0.2">
      <c r="B67" s="132"/>
      <c r="C67" s="126"/>
      <c r="D67" s="126"/>
      <c r="E67" s="126"/>
      <c r="F67" s="126"/>
      <c r="G67" s="126"/>
      <c r="H67" s="126"/>
      <c r="I67" s="127"/>
    </row>
    <row r="68" spans="2:9" s="5" customFormat="1" ht="15" customHeight="1" x14ac:dyDescent="0.2">
      <c r="B68" s="133" t="s">
        <v>153</v>
      </c>
      <c r="C68" s="126"/>
      <c r="D68" s="126"/>
      <c r="E68" s="126"/>
      <c r="F68" s="126"/>
      <c r="G68" s="126"/>
      <c r="H68" s="126"/>
      <c r="I68" s="127"/>
    </row>
    <row r="69" spans="2:9" s="5" customFormat="1" ht="15" customHeight="1" x14ac:dyDescent="0.2">
      <c r="B69" s="132" t="s">
        <v>154</v>
      </c>
      <c r="C69" s="126"/>
      <c r="D69" s="126"/>
      <c r="E69" s="126"/>
      <c r="F69" s="126"/>
      <c r="G69" s="126"/>
      <c r="H69" s="126"/>
      <c r="I69" s="127"/>
    </row>
    <row r="70" spans="2:9" s="5" customFormat="1" ht="15" customHeight="1" x14ac:dyDescent="0.2">
      <c r="B70" s="132" t="s">
        <v>164</v>
      </c>
      <c r="C70" s="126"/>
      <c r="D70" s="126"/>
      <c r="E70" s="126"/>
      <c r="F70" s="126"/>
      <c r="G70" s="126"/>
      <c r="H70" s="126"/>
      <c r="I70" s="127"/>
    </row>
    <row r="71" spans="2:9" s="5" customFormat="1" ht="15" customHeight="1" x14ac:dyDescent="0.2">
      <c r="B71" s="132"/>
      <c r="C71" s="126"/>
      <c r="D71" s="126"/>
      <c r="E71" s="126"/>
      <c r="F71" s="126"/>
      <c r="G71" s="126"/>
      <c r="H71" s="126"/>
      <c r="I71" s="127"/>
    </row>
    <row r="72" spans="2:9" s="5" customFormat="1" ht="15" customHeight="1" x14ac:dyDescent="0.2">
      <c r="B72" s="133" t="s">
        <v>167</v>
      </c>
      <c r="C72" s="126"/>
      <c r="D72" s="126"/>
      <c r="E72" s="126"/>
      <c r="F72" s="126"/>
      <c r="G72" s="126"/>
      <c r="H72" s="126"/>
      <c r="I72" s="127"/>
    </row>
    <row r="73" spans="2:9" s="5" customFormat="1" ht="15" customHeight="1" x14ac:dyDescent="0.2">
      <c r="B73" s="132" t="s">
        <v>169</v>
      </c>
      <c r="C73" s="126"/>
      <c r="D73" s="126"/>
      <c r="E73" s="126"/>
      <c r="F73" s="126"/>
      <c r="G73" s="126"/>
      <c r="H73" s="126"/>
      <c r="I73" s="127"/>
    </row>
    <row r="74" spans="2:9" s="5" customFormat="1" ht="15" customHeight="1" x14ac:dyDescent="0.2">
      <c r="B74" s="132"/>
      <c r="C74" s="126"/>
      <c r="D74" s="126"/>
      <c r="E74" s="126"/>
      <c r="F74" s="126"/>
      <c r="G74" s="126"/>
      <c r="H74" s="126"/>
      <c r="I74" s="127"/>
    </row>
    <row r="75" spans="2:9" s="5" customFormat="1" ht="15" customHeight="1" x14ac:dyDescent="0.2">
      <c r="B75" s="133" t="s">
        <v>168</v>
      </c>
      <c r="C75" s="126"/>
      <c r="D75" s="126"/>
      <c r="E75" s="126"/>
      <c r="F75" s="126"/>
      <c r="G75" s="126"/>
      <c r="H75" s="126"/>
      <c r="I75" s="127"/>
    </row>
    <row r="76" spans="2:9" s="5" customFormat="1" ht="15" customHeight="1" x14ac:dyDescent="0.2">
      <c r="B76" s="132" t="s">
        <v>170</v>
      </c>
      <c r="C76" s="126"/>
      <c r="D76" s="126"/>
      <c r="E76" s="126"/>
      <c r="F76" s="126"/>
      <c r="G76" s="126"/>
      <c r="H76" s="126"/>
      <c r="I76" s="127"/>
    </row>
    <row r="77" spans="2:9" s="5" customFormat="1" ht="15" customHeight="1" x14ac:dyDescent="0.2">
      <c r="B77" s="132"/>
      <c r="C77" s="126"/>
      <c r="D77" s="126"/>
      <c r="E77" s="126"/>
      <c r="F77" s="126"/>
      <c r="G77" s="126"/>
      <c r="H77" s="126"/>
      <c r="I77" s="127"/>
    </row>
    <row r="78" spans="2:9" s="5" customFormat="1" ht="15" customHeight="1" x14ac:dyDescent="0.2">
      <c r="B78" s="133" t="s">
        <v>163</v>
      </c>
      <c r="C78" s="126"/>
      <c r="D78" s="126"/>
      <c r="E78" s="126"/>
      <c r="F78" s="126"/>
      <c r="G78" s="126"/>
      <c r="H78" s="126"/>
      <c r="I78" s="127"/>
    </row>
    <row r="79" spans="2:9" s="5" customFormat="1" ht="15" customHeight="1" x14ac:dyDescent="0.2">
      <c r="B79" s="132" t="s">
        <v>162</v>
      </c>
      <c r="C79" s="126"/>
      <c r="D79" s="126"/>
      <c r="E79" s="126"/>
      <c r="F79" s="126"/>
      <c r="G79" s="126"/>
      <c r="H79" s="126"/>
      <c r="I79" s="127"/>
    </row>
    <row r="80" spans="2:9" s="5" customFormat="1" ht="15" customHeight="1" x14ac:dyDescent="0.2">
      <c r="B80" s="132"/>
      <c r="C80" s="126"/>
      <c r="D80" s="126"/>
      <c r="E80" s="126"/>
      <c r="F80" s="126"/>
      <c r="G80" s="126"/>
      <c r="H80" s="126"/>
      <c r="I80" s="127"/>
    </row>
    <row r="81" spans="2:9" s="5" customFormat="1" ht="15" customHeight="1" x14ac:dyDescent="0.2">
      <c r="B81" s="133" t="s">
        <v>119</v>
      </c>
      <c r="C81" s="126"/>
      <c r="D81" s="126"/>
      <c r="E81" s="126"/>
      <c r="F81" s="126"/>
      <c r="G81" s="126"/>
      <c r="H81" s="126"/>
      <c r="I81" s="127"/>
    </row>
    <row r="82" spans="2:9" s="5" customFormat="1" ht="15" customHeight="1" x14ac:dyDescent="0.2">
      <c r="B82" s="132" t="s">
        <v>155</v>
      </c>
      <c r="C82" s="126"/>
      <c r="D82" s="126"/>
      <c r="E82" s="126"/>
      <c r="F82" s="126"/>
      <c r="G82" s="126"/>
      <c r="H82" s="126"/>
      <c r="I82" s="127"/>
    </row>
    <row r="83" spans="2:9" s="5" customFormat="1" ht="15" customHeight="1" x14ac:dyDescent="0.2">
      <c r="B83" s="132"/>
      <c r="C83" s="126"/>
      <c r="D83" s="126"/>
      <c r="E83" s="126"/>
      <c r="F83" s="126"/>
      <c r="G83" s="126"/>
      <c r="H83" s="126"/>
      <c r="I83" s="127"/>
    </row>
    <row r="84" spans="2:9" s="5" customFormat="1" ht="15" customHeight="1" x14ac:dyDescent="0.2">
      <c r="B84" s="133" t="s">
        <v>68</v>
      </c>
      <c r="C84" s="126"/>
      <c r="D84" s="126"/>
      <c r="E84" s="126"/>
      <c r="F84" s="126"/>
      <c r="G84" s="126"/>
      <c r="H84" s="126"/>
      <c r="I84" s="127"/>
    </row>
    <row r="85" spans="2:9" s="5" customFormat="1" ht="15" customHeight="1" thickBot="1" x14ac:dyDescent="0.25">
      <c r="B85" s="134" t="s">
        <v>27</v>
      </c>
      <c r="C85" s="135"/>
      <c r="D85" s="135"/>
      <c r="E85" s="135"/>
      <c r="F85" s="135"/>
      <c r="G85" s="135"/>
      <c r="H85" s="135"/>
      <c r="I85" s="136"/>
    </row>
    <row r="86" spans="2:9" s="5" customFormat="1" ht="15" customHeight="1" x14ac:dyDescent="0.2">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zoomScaleNormal="100" zoomScaleSheetLayoutView="70" workbookViewId="0">
      <selection activeCell="D8" sqref="D8"/>
    </sheetView>
  </sheetViews>
  <sheetFormatPr defaultColWidth="8.7109375" defaultRowHeight="12.75" x14ac:dyDescent="0.2"/>
  <cols>
    <col min="1" max="1" width="2" style="5" customWidth="1"/>
    <col min="2" max="2" width="11" style="5" bestFit="1" customWidth="1"/>
    <col min="3" max="3" width="61.140625" style="5" customWidth="1"/>
    <col min="4" max="10" width="13.42578125" style="5" customWidth="1"/>
    <col min="11" max="11" width="15.140625" style="5" bestFit="1" customWidth="1"/>
    <col min="12" max="12" width="2.28515625" style="5" customWidth="1"/>
    <col min="13" max="16384" width="8.7109375" style="5"/>
  </cols>
  <sheetData>
    <row r="1" spans="1:11" ht="15" x14ac:dyDescent="0.25">
      <c r="A1"/>
    </row>
    <row r="2" spans="1:11" ht="15" x14ac:dyDescent="0.25">
      <c r="A2"/>
      <c r="B2" s="9" t="s">
        <v>69</v>
      </c>
      <c r="C2" s="10" t="str">
        <f>Overview!$C$11</f>
        <v>Rocky Mountain Health Plans</v>
      </c>
    </row>
    <row r="3" spans="1:11" ht="15" x14ac:dyDescent="0.25">
      <c r="A3"/>
      <c r="B3" s="9" t="s">
        <v>71</v>
      </c>
      <c r="C3" s="10" t="str">
        <f>Overview!$C$12</f>
        <v>Region 01</v>
      </c>
    </row>
    <row r="4" spans="1:11" ht="15" x14ac:dyDescent="0.25">
      <c r="A4"/>
      <c r="B4" s="9" t="s">
        <v>20</v>
      </c>
      <c r="C4" s="11" t="s">
        <v>115</v>
      </c>
    </row>
    <row r="5" spans="1:11" ht="15" x14ac:dyDescent="0.25">
      <c r="A5"/>
      <c r="B5" s="9" t="s">
        <v>21</v>
      </c>
      <c r="C5" s="10" t="str">
        <f>Overview!C13</f>
        <v>July 1, 2022 - June 30, 2023</v>
      </c>
    </row>
    <row r="6" spans="1:11" ht="25.5" x14ac:dyDescent="0.25">
      <c r="A6"/>
      <c r="B6" s="9"/>
      <c r="C6" s="10"/>
      <c r="D6" s="198" t="s">
        <v>34</v>
      </c>
      <c r="E6" s="198" t="s">
        <v>35</v>
      </c>
      <c r="F6" s="198" t="s">
        <v>28</v>
      </c>
      <c r="G6" s="198" t="s">
        <v>36</v>
      </c>
      <c r="H6" s="198" t="s">
        <v>37</v>
      </c>
      <c r="I6" s="198" t="s">
        <v>38</v>
      </c>
      <c r="J6" s="198" t="s">
        <v>39</v>
      </c>
      <c r="K6" s="198" t="s">
        <v>29</v>
      </c>
    </row>
    <row r="7" spans="1:11" ht="15" x14ac:dyDescent="0.25">
      <c r="A7"/>
      <c r="B7" s="26" t="s">
        <v>5</v>
      </c>
      <c r="C7" s="26" t="s">
        <v>4</v>
      </c>
      <c r="D7" s="26"/>
      <c r="E7" s="26"/>
      <c r="F7" s="26"/>
      <c r="G7" s="26"/>
      <c r="H7" s="26"/>
      <c r="I7" s="26"/>
      <c r="J7" s="26"/>
      <c r="K7" s="26"/>
    </row>
    <row r="8" spans="1:11" ht="15" x14ac:dyDescent="0.25">
      <c r="A8"/>
      <c r="B8" s="165" t="s">
        <v>6</v>
      </c>
      <c r="C8" s="95" t="s">
        <v>171</v>
      </c>
      <c r="D8" s="206">
        <v>27168927.399999999</v>
      </c>
      <c r="E8" s="206">
        <v>27606617.059999999</v>
      </c>
      <c r="F8" s="206">
        <v>84295322.859999999</v>
      </c>
      <c r="G8" s="206">
        <v>7509816</v>
      </c>
      <c r="H8" s="206">
        <v>4303376</v>
      </c>
      <c r="I8" s="206">
        <v>2330789.7200000002</v>
      </c>
      <c r="J8" s="206">
        <v>18468489</v>
      </c>
      <c r="K8" s="225">
        <f>SUM(D8:J8)</f>
        <v>171683338.03999999</v>
      </c>
    </row>
    <row r="9" spans="1:11" ht="15" x14ac:dyDescent="0.25">
      <c r="A9"/>
      <c r="B9" s="165" t="s">
        <v>7</v>
      </c>
      <c r="C9" s="95" t="s">
        <v>172</v>
      </c>
      <c r="D9" s="206"/>
      <c r="E9" s="206"/>
      <c r="F9" s="206"/>
      <c r="G9" s="206"/>
      <c r="H9" s="206"/>
      <c r="I9" s="206"/>
      <c r="J9" s="206"/>
      <c r="K9" s="225">
        <f t="shared" ref="K9:K12" si="0">SUM(D9:J9)</f>
        <v>0</v>
      </c>
    </row>
    <row r="10" spans="1:11" ht="15" x14ac:dyDescent="0.25">
      <c r="A10"/>
      <c r="B10" s="165" t="s">
        <v>8</v>
      </c>
      <c r="C10" s="6" t="s">
        <v>173</v>
      </c>
      <c r="D10" s="206"/>
      <c r="E10" s="206"/>
      <c r="F10" s="206"/>
      <c r="G10" s="206"/>
      <c r="H10" s="206"/>
      <c r="I10" s="206"/>
      <c r="J10" s="206"/>
      <c r="K10" s="225">
        <f t="shared" si="0"/>
        <v>0</v>
      </c>
    </row>
    <row r="11" spans="1:11" ht="15" x14ac:dyDescent="0.25">
      <c r="A11"/>
      <c r="B11" s="165" t="s">
        <v>9</v>
      </c>
      <c r="C11" s="6" t="s">
        <v>174</v>
      </c>
      <c r="D11" s="206">
        <f>(2702397+668801+5595)/$K$8*D8</f>
        <v>534378.26238241629</v>
      </c>
      <c r="E11" s="206">
        <f t="shared" ref="E11:J11" si="1">(2702397+668801+5595)/$K$8*E8</f>
        <v>542987.06156429171</v>
      </c>
      <c r="F11" s="206">
        <f t="shared" si="1"/>
        <v>1657981.8368866332</v>
      </c>
      <c r="G11" s="206">
        <f t="shared" si="1"/>
        <v>147708.5335688176</v>
      </c>
      <c r="H11" s="206">
        <f t="shared" si="1"/>
        <v>84641.9350827296</v>
      </c>
      <c r="I11" s="206">
        <f t="shared" si="1"/>
        <v>45843.670683605967</v>
      </c>
      <c r="J11" s="206">
        <f t="shared" si="1"/>
        <v>363251.69983150571</v>
      </c>
      <c r="K11" s="225">
        <f t="shared" si="0"/>
        <v>3376793</v>
      </c>
    </row>
    <row r="12" spans="1:11" ht="15" x14ac:dyDescent="0.25">
      <c r="A12"/>
      <c r="B12" s="165" t="s">
        <v>10</v>
      </c>
      <c r="C12" s="6" t="s">
        <v>175</v>
      </c>
      <c r="D12" s="206"/>
      <c r="E12" s="206"/>
      <c r="F12" s="206"/>
      <c r="G12" s="206"/>
      <c r="H12" s="206"/>
      <c r="I12" s="206"/>
      <c r="J12" s="206"/>
      <c r="K12" s="225">
        <f t="shared" si="0"/>
        <v>0</v>
      </c>
    </row>
    <row r="13" spans="1:11" ht="15" x14ac:dyDescent="0.25">
      <c r="A13"/>
      <c r="B13" s="165" t="s">
        <v>11</v>
      </c>
      <c r="C13" s="6" t="s">
        <v>176</v>
      </c>
      <c r="D13" s="207"/>
      <c r="E13" s="207"/>
      <c r="F13" s="207"/>
      <c r="G13" s="207"/>
      <c r="H13" s="207"/>
      <c r="I13" s="207"/>
      <c r="J13" s="207"/>
      <c r="K13" s="225">
        <f>K8-K9+K10-K11-K12</f>
        <v>168306545.03999999</v>
      </c>
    </row>
    <row r="14" spans="1:11" ht="15.75" thickBot="1" x14ac:dyDescent="0.3">
      <c r="A14"/>
      <c r="B14" s="169" t="s">
        <v>12</v>
      </c>
      <c r="C14" s="137" t="s">
        <v>230</v>
      </c>
      <c r="D14" s="208"/>
      <c r="E14" s="208"/>
      <c r="F14" s="208"/>
      <c r="G14" s="208"/>
      <c r="H14" s="208"/>
      <c r="I14" s="208"/>
      <c r="J14" s="208"/>
      <c r="K14" s="226">
        <f>'Report 4B. SUD RC Calc'!D58</f>
        <v>-7342591.4702267507</v>
      </c>
    </row>
    <row r="15" spans="1:11" ht="15.75" thickTop="1" x14ac:dyDescent="0.25">
      <c r="A15"/>
      <c r="B15" s="180" t="s">
        <v>13</v>
      </c>
      <c r="C15" s="35" t="s">
        <v>231</v>
      </c>
      <c r="D15" s="209"/>
      <c r="E15" s="209"/>
      <c r="F15" s="209"/>
      <c r="G15" s="209"/>
      <c r="H15" s="209"/>
      <c r="I15" s="209"/>
      <c r="J15" s="209"/>
      <c r="K15" s="227">
        <f>K13+K14</f>
        <v>160963953.56977323</v>
      </c>
    </row>
    <row r="16" spans="1:11" ht="15" x14ac:dyDescent="0.25">
      <c r="A16"/>
      <c r="B16" s="181" t="s">
        <v>14</v>
      </c>
      <c r="C16" s="95" t="s">
        <v>177</v>
      </c>
      <c r="D16" s="205">
        <v>452740</v>
      </c>
      <c r="E16" s="205">
        <v>1037063</v>
      </c>
      <c r="F16" s="205">
        <v>1024618</v>
      </c>
      <c r="G16" s="205">
        <v>208606</v>
      </c>
      <c r="H16" s="205">
        <v>39200</v>
      </c>
      <c r="I16" s="205">
        <v>85817</v>
      </c>
      <c r="J16" s="205">
        <v>162175</v>
      </c>
      <c r="K16" s="56">
        <f>SUM(D16:J16)</f>
        <v>3010219</v>
      </c>
    </row>
    <row r="17" spans="1:11" ht="15" x14ac:dyDescent="0.25">
      <c r="A17"/>
      <c r="B17"/>
      <c r="C17"/>
      <c r="D17"/>
      <c r="E17"/>
      <c r="F17"/>
      <c r="G17"/>
      <c r="H17"/>
      <c r="I17"/>
      <c r="J17"/>
      <c r="K17"/>
    </row>
    <row r="18" spans="1:11" ht="15" x14ac:dyDescent="0.25">
      <c r="A18"/>
      <c r="B18" s="26" t="s">
        <v>5</v>
      </c>
      <c r="C18" s="96" t="s">
        <v>30</v>
      </c>
      <c r="D18" s="26"/>
      <c r="E18" s="26"/>
      <c r="F18" s="26"/>
      <c r="G18" s="26"/>
      <c r="H18" s="26"/>
      <c r="I18" s="26"/>
      <c r="J18" s="26"/>
      <c r="K18" s="26"/>
    </row>
    <row r="19" spans="1:11" ht="15" x14ac:dyDescent="0.25">
      <c r="A19"/>
      <c r="B19" s="178" t="s">
        <v>232</v>
      </c>
      <c r="C19" s="1" t="s">
        <v>233</v>
      </c>
      <c r="D19" s="25">
        <v>10075091.720000001</v>
      </c>
      <c r="E19" s="25">
        <v>12937448.09</v>
      </c>
      <c r="F19" s="25">
        <v>33696047.549999997</v>
      </c>
      <c r="G19" s="25">
        <v>2626746.38</v>
      </c>
      <c r="H19" s="25">
        <v>2328159.38</v>
      </c>
      <c r="I19" s="25">
        <v>247817.61</v>
      </c>
      <c r="J19" s="25">
        <v>4980570.1099999994</v>
      </c>
      <c r="K19" s="228">
        <f t="shared" ref="K19:K30" si="2">SUM(D19,E19,F19,G19,H19,I19,J19)</f>
        <v>66891880.840000004</v>
      </c>
    </row>
    <row r="20" spans="1:11" ht="15" x14ac:dyDescent="0.25">
      <c r="A20"/>
      <c r="B20" s="178" t="s">
        <v>234</v>
      </c>
      <c r="C20" s="1" t="s">
        <v>235</v>
      </c>
      <c r="D20" s="25">
        <v>9228279.9001689143</v>
      </c>
      <c r="E20" s="25">
        <v>12231839.727476861</v>
      </c>
      <c r="F20" s="25">
        <v>33426690.481830195</v>
      </c>
      <c r="G20" s="25">
        <v>2944271.4821821707</v>
      </c>
      <c r="H20" s="25">
        <v>1551810.6073807396</v>
      </c>
      <c r="I20" s="25">
        <v>1504826.8888246845</v>
      </c>
      <c r="J20" s="25">
        <v>10881213.562136428</v>
      </c>
      <c r="K20" s="228">
        <f t="shared" si="2"/>
        <v>71768932.649999991</v>
      </c>
    </row>
    <row r="21" spans="1:11" ht="15" x14ac:dyDescent="0.25">
      <c r="A21"/>
      <c r="B21" s="178" t="s">
        <v>19</v>
      </c>
      <c r="C21" s="1" t="s">
        <v>2</v>
      </c>
      <c r="D21" s="25">
        <f t="shared" ref="D21:J21" si="3">(1649784.65+775000+600000)/$K$19*D19</f>
        <v>455585.67645738361</v>
      </c>
      <c r="E21" s="25">
        <f t="shared" si="3"/>
        <v>585018.59869072586</v>
      </c>
      <c r="F21" s="25">
        <f t="shared" si="3"/>
        <v>1523701.92189247</v>
      </c>
      <c r="G21" s="25">
        <f t="shared" si="3"/>
        <v>118778.87166413643</v>
      </c>
      <c r="H21" s="25">
        <f t="shared" si="3"/>
        <v>105277.06302984433</v>
      </c>
      <c r="I21" s="25">
        <f t="shared" si="3"/>
        <v>11206.06706396337</v>
      </c>
      <c r="J21" s="25">
        <f t="shared" si="3"/>
        <v>225216.45120147604</v>
      </c>
      <c r="K21" s="228">
        <f t="shared" si="2"/>
        <v>3024784.65</v>
      </c>
    </row>
    <row r="22" spans="1:11" ht="15" x14ac:dyDescent="0.25">
      <c r="A22"/>
      <c r="B22" s="178" t="s">
        <v>16</v>
      </c>
      <c r="C22" s="1" t="s">
        <v>236</v>
      </c>
      <c r="D22" s="25">
        <f>(1091000+514380+216000+160200-6592.62)/$K$8*D8</f>
        <v>312542.2033129069</v>
      </c>
      <c r="E22" s="25">
        <f t="shared" ref="E22:J22" si="4">(1091000+514380+216000+160200-6592.62)/$K$8*E8</f>
        <v>317577.23795706726</v>
      </c>
      <c r="F22" s="25">
        <f t="shared" si="4"/>
        <v>969705.04384494957</v>
      </c>
      <c r="G22" s="25">
        <f t="shared" si="4"/>
        <v>86390.397550788897</v>
      </c>
      <c r="H22" s="25">
        <f t="shared" si="4"/>
        <v>49504.590185768036</v>
      </c>
      <c r="I22" s="25">
        <f t="shared" si="4"/>
        <v>26812.62104398989</v>
      </c>
      <c r="J22" s="25">
        <f t="shared" si="4"/>
        <v>212455.28610452931</v>
      </c>
      <c r="K22" s="228">
        <f>SUM(D22,E22,F22,G22,H22,I22,J22)</f>
        <v>1974987.38</v>
      </c>
    </row>
    <row r="23" spans="1:11" ht="15" x14ac:dyDescent="0.25">
      <c r="A23"/>
      <c r="B23" s="178" t="s">
        <v>15</v>
      </c>
      <c r="C23" s="1" t="s">
        <v>0</v>
      </c>
      <c r="D23" s="25">
        <f>(34750+46303.6)/$K$16*D16</f>
        <v>12190.543898633288</v>
      </c>
      <c r="E23" s="25">
        <f t="shared" ref="E23:J23" si="5">(34750+46303.6)/$K$16*E16</f>
        <v>27924.111028732463</v>
      </c>
      <c r="F23" s="25">
        <f t="shared" si="5"/>
        <v>27589.015126407747</v>
      </c>
      <c r="G23" s="25">
        <f t="shared" si="5"/>
        <v>5616.9558698553165</v>
      </c>
      <c r="H23" s="25">
        <f t="shared" si="5"/>
        <v>1055.5049715651917</v>
      </c>
      <c r="I23" s="25">
        <f t="shared" si="5"/>
        <v>2310.721177163522</v>
      </c>
      <c r="J23" s="25">
        <f t="shared" si="5"/>
        <v>4366.7479276424738</v>
      </c>
      <c r="K23" s="228">
        <f>SUM(D23,E23,F23,G23,H23,I23,J23)</f>
        <v>81053.600000000006</v>
      </c>
    </row>
    <row r="24" spans="1:11" ht="15" x14ac:dyDescent="0.25">
      <c r="A24"/>
      <c r="B24" s="178" t="s">
        <v>17</v>
      </c>
      <c r="C24" s="1" t="s">
        <v>237</v>
      </c>
      <c r="D24" s="25">
        <f>242929/$K$16*D16</f>
        <v>36536.768740081701</v>
      </c>
      <c r="E24" s="25">
        <f t="shared" ref="E24:J24" si="6">242929/$K$16*E16</f>
        <v>83692.474709315167</v>
      </c>
      <c r="F24" s="25">
        <f t="shared" si="6"/>
        <v>82688.145321652686</v>
      </c>
      <c r="G24" s="25">
        <f t="shared" si="6"/>
        <v>16834.804037181348</v>
      </c>
      <c r="H24" s="25">
        <f t="shared" si="6"/>
        <v>3163.4963436215107</v>
      </c>
      <c r="I24" s="25">
        <f t="shared" si="6"/>
        <v>6925.5552479736525</v>
      </c>
      <c r="J24" s="25">
        <f t="shared" si="6"/>
        <v>13087.755600173941</v>
      </c>
      <c r="K24" s="228">
        <f t="shared" si="2"/>
        <v>242929</v>
      </c>
    </row>
    <row r="25" spans="1:11" ht="15" x14ac:dyDescent="0.25">
      <c r="A25"/>
      <c r="B25" s="178" t="s">
        <v>18</v>
      </c>
      <c r="C25" s="29" t="s">
        <v>238</v>
      </c>
      <c r="D25" s="25">
        <f>2220490/$K$8*D8</f>
        <v>351393.04891876155</v>
      </c>
      <c r="E25" s="25">
        <f t="shared" ref="E25:J25" si="7">2220490/$K$8*E8</f>
        <v>357053.9681682869</v>
      </c>
      <c r="F25" s="25">
        <f t="shared" si="7"/>
        <v>1090245.1198484481</v>
      </c>
      <c r="G25" s="25">
        <f t="shared" si="7"/>
        <v>97129.235254936808</v>
      </c>
      <c r="H25" s="25">
        <f t="shared" si="7"/>
        <v>55658.30373133628</v>
      </c>
      <c r="I25" s="25">
        <f t="shared" si="7"/>
        <v>30145.588526225984</v>
      </c>
      <c r="J25" s="25">
        <f t="shared" si="7"/>
        <v>238864.73555200454</v>
      </c>
      <c r="K25" s="228">
        <f t="shared" si="2"/>
        <v>2220490</v>
      </c>
    </row>
    <row r="26" spans="1:11" ht="15" x14ac:dyDescent="0.25">
      <c r="A26"/>
      <c r="B26" s="178" t="s">
        <v>94</v>
      </c>
      <c r="C26" s="29" t="s">
        <v>239</v>
      </c>
      <c r="D26" s="25">
        <f>256688/$K$8*D8</f>
        <v>40620.934541861963</v>
      </c>
      <c r="E26" s="25">
        <f t="shared" ref="E26:J26" si="8">256688/$K$8*E8</f>
        <v>41275.335165292898</v>
      </c>
      <c r="F26" s="25">
        <f t="shared" si="8"/>
        <v>126032.01965496733</v>
      </c>
      <c r="G26" s="25">
        <f t="shared" si="8"/>
        <v>11228.111425459794</v>
      </c>
      <c r="H26" s="25">
        <f t="shared" si="8"/>
        <v>6434.0837689830832</v>
      </c>
      <c r="I26" s="25">
        <f t="shared" si="8"/>
        <v>3484.8212906249946</v>
      </c>
      <c r="J26" s="25">
        <f t="shared" si="8"/>
        <v>27612.694152809938</v>
      </c>
      <c r="K26" s="228">
        <f t="shared" si="2"/>
        <v>256688</v>
      </c>
    </row>
    <row r="27" spans="1:11" ht="15" x14ac:dyDescent="0.25">
      <c r="A27"/>
      <c r="B27" s="178" t="s">
        <v>95</v>
      </c>
      <c r="C27" s="29" t="s">
        <v>240</v>
      </c>
      <c r="D27" s="25"/>
      <c r="E27" s="25"/>
      <c r="F27" s="25"/>
      <c r="G27" s="25"/>
      <c r="H27" s="25"/>
      <c r="I27" s="25"/>
      <c r="J27" s="25"/>
      <c r="K27" s="228">
        <f t="shared" si="2"/>
        <v>0</v>
      </c>
    </row>
    <row r="28" spans="1:11" ht="15" x14ac:dyDescent="0.25">
      <c r="A28"/>
      <c r="B28" s="179" t="s">
        <v>96</v>
      </c>
      <c r="C28" s="29" t="s">
        <v>212</v>
      </c>
      <c r="D28" s="25"/>
      <c r="E28" s="25"/>
      <c r="F28" s="25"/>
      <c r="G28" s="25"/>
      <c r="H28" s="25"/>
      <c r="I28" s="25"/>
      <c r="J28" s="25"/>
      <c r="K28" s="228">
        <f t="shared" si="2"/>
        <v>0</v>
      </c>
    </row>
    <row r="29" spans="1:11" ht="15" x14ac:dyDescent="0.25">
      <c r="A29"/>
      <c r="B29" s="179" t="s">
        <v>241</v>
      </c>
      <c r="C29" s="29" t="s">
        <v>242</v>
      </c>
      <c r="D29" s="25"/>
      <c r="E29" s="25"/>
      <c r="F29" s="25"/>
      <c r="G29" s="25"/>
      <c r="H29" s="25"/>
      <c r="I29" s="25"/>
      <c r="J29" s="25"/>
      <c r="K29" s="228">
        <f t="shared" si="2"/>
        <v>0</v>
      </c>
    </row>
    <row r="30" spans="1:11" ht="15" x14ac:dyDescent="0.25">
      <c r="A30"/>
      <c r="B30" s="179" t="s">
        <v>243</v>
      </c>
      <c r="C30" s="29" t="s">
        <v>244</v>
      </c>
      <c r="D30" s="25"/>
      <c r="E30" s="25"/>
      <c r="F30" s="25"/>
      <c r="G30" s="25"/>
      <c r="H30" s="25"/>
      <c r="I30" s="25"/>
      <c r="J30" s="25"/>
      <c r="K30" s="228">
        <f t="shared" si="2"/>
        <v>0</v>
      </c>
    </row>
    <row r="31" spans="1:11" ht="25.5" x14ac:dyDescent="0.25">
      <c r="A31"/>
      <c r="B31" s="178" t="s">
        <v>245</v>
      </c>
      <c r="C31" s="1" t="s">
        <v>246</v>
      </c>
      <c r="D31" s="2">
        <f t="shared" ref="D31:K31" si="9">SUM(D19:D30)</f>
        <v>20512240.796038546</v>
      </c>
      <c r="E31" s="2">
        <f t="shared" si="9"/>
        <v>26581829.54319628</v>
      </c>
      <c r="F31" s="2">
        <f t="shared" si="9"/>
        <v>70942699.297519088</v>
      </c>
      <c r="G31" s="2">
        <f t="shared" si="9"/>
        <v>5906996.2379845288</v>
      </c>
      <c r="H31" s="2">
        <f t="shared" si="9"/>
        <v>4101063.0294118575</v>
      </c>
      <c r="I31" s="2">
        <f t="shared" si="9"/>
        <v>1833529.8731746257</v>
      </c>
      <c r="J31" s="2">
        <f t="shared" si="9"/>
        <v>16583387.342675064</v>
      </c>
      <c r="K31" s="2">
        <f t="shared" si="9"/>
        <v>146461746.12</v>
      </c>
    </row>
    <row r="32" spans="1:11" ht="15" x14ac:dyDescent="0.25">
      <c r="A32"/>
      <c r="B32" s="178" t="s">
        <v>247</v>
      </c>
      <c r="C32" s="63" t="s">
        <v>248</v>
      </c>
      <c r="D32" s="199"/>
      <c r="E32" s="199"/>
      <c r="F32" s="199"/>
      <c r="G32" s="199"/>
      <c r="H32" s="199"/>
      <c r="I32" s="199"/>
      <c r="J32" s="199"/>
      <c r="K32" s="3">
        <f>IF(K15=0,0,K31/K15)</f>
        <v>0.9099040056599571</v>
      </c>
    </row>
    <row r="33" spans="1:11" ht="15" x14ac:dyDescent="0.25">
      <c r="A33"/>
      <c r="B33" s="178" t="s">
        <v>249</v>
      </c>
      <c r="C33" s="1" t="s">
        <v>103</v>
      </c>
      <c r="D33" s="182"/>
      <c r="E33" s="182"/>
      <c r="F33" s="182"/>
      <c r="G33" s="182"/>
      <c r="H33" s="182"/>
      <c r="I33" s="182"/>
      <c r="J33" s="182"/>
      <c r="K33" s="191">
        <f ca="1">IF(K16=0,0,'Credibility Table'!C17)</f>
        <v>0</v>
      </c>
    </row>
    <row r="34" spans="1:11" ht="15" x14ac:dyDescent="0.25">
      <c r="A34"/>
      <c r="B34" s="178" t="s">
        <v>250</v>
      </c>
      <c r="C34" s="1" t="s">
        <v>251</v>
      </c>
      <c r="D34" s="200"/>
      <c r="E34" s="200"/>
      <c r="F34" s="200"/>
      <c r="G34" s="200"/>
      <c r="H34" s="200"/>
      <c r="I34" s="200"/>
      <c r="J34" s="200"/>
      <c r="K34" s="183">
        <f ca="1">IF(ISTEXT(K33),K33,K32+K33)</f>
        <v>0.9099040056599571</v>
      </c>
    </row>
    <row r="35" spans="1:11" ht="15" x14ac:dyDescent="0.25">
      <c r="A35"/>
      <c r="B35" s="178" t="s">
        <v>252</v>
      </c>
      <c r="C35" s="1" t="s">
        <v>1</v>
      </c>
      <c r="D35" s="200"/>
      <c r="E35" s="200"/>
      <c r="F35" s="200"/>
      <c r="G35" s="200"/>
      <c r="H35" s="200"/>
      <c r="I35" s="200"/>
      <c r="J35" s="200"/>
      <c r="K35" s="184">
        <v>0.89</v>
      </c>
    </row>
    <row r="36" spans="1:11" ht="15" x14ac:dyDescent="0.25">
      <c r="A36"/>
      <c r="B36" s="178" t="s">
        <v>253</v>
      </c>
      <c r="C36" s="1" t="s">
        <v>254</v>
      </c>
      <c r="D36" s="200"/>
      <c r="E36" s="200"/>
      <c r="F36" s="200"/>
      <c r="G36" s="200"/>
      <c r="H36" s="200"/>
      <c r="I36" s="200"/>
      <c r="J36" s="200"/>
      <c r="K36" s="184">
        <f>SUMIFS('Report 2. MLR Quality Metrics'!$D$12:$D$15,'Report 2. MLR Quality Metrics'!$E$12:$E$15,"Yes")</f>
        <v>0.04</v>
      </c>
    </row>
    <row r="37" spans="1:11" ht="15" x14ac:dyDescent="0.25">
      <c r="A37"/>
      <c r="B37" s="178" t="s">
        <v>255</v>
      </c>
      <c r="C37" s="29" t="s">
        <v>256</v>
      </c>
      <c r="D37" s="201"/>
      <c r="E37" s="201"/>
      <c r="F37" s="201"/>
      <c r="G37" s="201"/>
      <c r="H37" s="201"/>
      <c r="I37" s="201"/>
      <c r="J37" s="201"/>
      <c r="K37" s="185">
        <f>K35-K36</f>
        <v>0.85</v>
      </c>
    </row>
    <row r="38" spans="1:11" ht="15.75" thickBot="1" x14ac:dyDescent="0.3">
      <c r="A38"/>
      <c r="B38" s="186" t="s">
        <v>257</v>
      </c>
      <c r="C38" s="187" t="s">
        <v>258</v>
      </c>
      <c r="D38" s="202"/>
      <c r="E38" s="202"/>
      <c r="F38" s="202"/>
      <c r="G38" s="202"/>
      <c r="H38" s="202"/>
      <c r="I38" s="202"/>
      <c r="J38" s="202"/>
      <c r="K38" s="4">
        <f ca="1">IF(ISTEXT(K33),K33,IF(K37-K34&lt;0,0,K37-K34))</f>
        <v>0</v>
      </c>
    </row>
    <row r="39" spans="1:11" ht="15.75" thickTop="1" x14ac:dyDescent="0.25">
      <c r="A39"/>
      <c r="B39" s="188" t="s">
        <v>259</v>
      </c>
      <c r="C39" s="189" t="s">
        <v>260</v>
      </c>
      <c r="D39" s="190"/>
      <c r="E39" s="190"/>
      <c r="F39" s="190"/>
      <c r="G39" s="190"/>
      <c r="H39" s="190"/>
      <c r="I39" s="190"/>
      <c r="J39" s="190"/>
      <c r="K39" s="204">
        <f ca="1">IF(ISTEXT(K33),"Not Credible",IF(K38=0,0,K15-((K31+K15*K33)/K37)))</f>
        <v>0</v>
      </c>
    </row>
    <row r="40" spans="1:11" ht="15" x14ac:dyDescent="0.25">
      <c r="A40"/>
    </row>
    <row r="41" spans="1:11" ht="12.75" customHeight="1" x14ac:dyDescent="0.2">
      <c r="B41" s="192" t="s">
        <v>261</v>
      </c>
      <c r="C41" s="193"/>
      <c r="D41" s="194"/>
      <c r="E41" s="194"/>
      <c r="F41" s="194"/>
      <c r="G41" s="194"/>
      <c r="H41" s="194"/>
      <c r="I41" s="194"/>
      <c r="J41" s="194"/>
      <c r="K41" s="194"/>
    </row>
    <row r="42" spans="1:11" ht="15" x14ac:dyDescent="0.25">
      <c r="A42"/>
      <c r="B42" s="235" t="s">
        <v>279</v>
      </c>
      <c r="C42" s="236"/>
      <c r="D42" s="236"/>
      <c r="E42" s="236"/>
      <c r="F42" s="236"/>
      <c r="G42" s="236"/>
      <c r="H42" s="236"/>
      <c r="I42" s="236"/>
      <c r="J42" s="236"/>
      <c r="K42" s="237"/>
    </row>
    <row r="43" spans="1:11" ht="15" x14ac:dyDescent="0.25">
      <c r="A43"/>
      <c r="B43" s="238"/>
      <c r="C43" s="239"/>
      <c r="D43" s="239"/>
      <c r="E43" s="239"/>
      <c r="F43" s="239"/>
      <c r="G43" s="239"/>
      <c r="H43" s="239"/>
      <c r="I43" s="239"/>
      <c r="J43" s="239"/>
      <c r="K43" s="240"/>
    </row>
    <row r="44" spans="1:11" ht="15" x14ac:dyDescent="0.25">
      <c r="A44"/>
      <c r="B44" s="238"/>
      <c r="C44" s="239"/>
      <c r="D44" s="239"/>
      <c r="E44" s="239"/>
      <c r="F44" s="239"/>
      <c r="G44" s="239"/>
      <c r="H44" s="239"/>
      <c r="I44" s="239"/>
      <c r="J44" s="239"/>
      <c r="K44" s="240"/>
    </row>
    <row r="45" spans="1:11" ht="15" x14ac:dyDescent="0.25">
      <c r="A45"/>
      <c r="B45" s="238"/>
      <c r="C45" s="239"/>
      <c r="D45" s="239"/>
      <c r="E45" s="239"/>
      <c r="F45" s="239"/>
      <c r="G45" s="239"/>
      <c r="H45" s="239"/>
      <c r="I45" s="239"/>
      <c r="J45" s="239"/>
      <c r="K45" s="240"/>
    </row>
    <row r="46" spans="1:11" ht="15" x14ac:dyDescent="0.25">
      <c r="A46"/>
      <c r="B46" s="238"/>
      <c r="C46" s="239"/>
      <c r="D46" s="239"/>
      <c r="E46" s="239"/>
      <c r="F46" s="239"/>
      <c r="G46" s="239"/>
      <c r="H46" s="239"/>
      <c r="I46" s="239"/>
      <c r="J46" s="239"/>
      <c r="K46" s="240"/>
    </row>
    <row r="47" spans="1:11" ht="15" x14ac:dyDescent="0.25">
      <c r="A47"/>
      <c r="B47" s="241"/>
      <c r="C47" s="242"/>
      <c r="D47" s="242"/>
      <c r="E47" s="242"/>
      <c r="F47" s="242"/>
      <c r="G47" s="242"/>
      <c r="H47" s="242"/>
      <c r="I47" s="242"/>
      <c r="J47" s="242"/>
      <c r="K47" s="243"/>
    </row>
    <row r="49" spans="2:11" ht="25.5" x14ac:dyDescent="0.2">
      <c r="B49" s="192" t="s">
        <v>262</v>
      </c>
      <c r="C49" s="193"/>
      <c r="D49" s="194"/>
      <c r="E49" s="194"/>
      <c r="F49" s="194"/>
      <c r="G49" s="194"/>
      <c r="H49" s="194"/>
      <c r="I49" s="194"/>
      <c r="J49" s="194"/>
      <c r="K49" s="194"/>
    </row>
    <row r="50" spans="2:11" x14ac:dyDescent="0.2">
      <c r="B50" s="244"/>
      <c r="C50" s="245"/>
      <c r="D50" s="245"/>
      <c r="E50" s="245"/>
      <c r="F50" s="245"/>
      <c r="G50" s="245"/>
      <c r="H50" s="245"/>
      <c r="I50" s="245"/>
      <c r="J50" s="245"/>
      <c r="K50" s="246"/>
    </row>
    <row r="51" spans="2:11" x14ac:dyDescent="0.2">
      <c r="B51" s="247"/>
      <c r="C51" s="248"/>
      <c r="D51" s="248"/>
      <c r="E51" s="248"/>
      <c r="F51" s="248"/>
      <c r="G51" s="248"/>
      <c r="H51" s="248"/>
      <c r="I51" s="248"/>
      <c r="J51" s="248"/>
      <c r="K51" s="249"/>
    </row>
    <row r="52" spans="2:11" x14ac:dyDescent="0.2">
      <c r="B52" s="247"/>
      <c r="C52" s="248"/>
      <c r="D52" s="248"/>
      <c r="E52" s="248"/>
      <c r="F52" s="248"/>
      <c r="G52" s="248"/>
      <c r="H52" s="248"/>
      <c r="I52" s="248"/>
      <c r="J52" s="248"/>
      <c r="K52" s="249"/>
    </row>
    <row r="53" spans="2:11" x14ac:dyDescent="0.2">
      <c r="B53" s="247"/>
      <c r="C53" s="248"/>
      <c r="D53" s="248"/>
      <c r="E53" s="248"/>
      <c r="F53" s="248"/>
      <c r="G53" s="248"/>
      <c r="H53" s="248"/>
      <c r="I53" s="248"/>
      <c r="J53" s="248"/>
      <c r="K53" s="249"/>
    </row>
    <row r="54" spans="2:11" x14ac:dyDescent="0.2">
      <c r="B54" s="247"/>
      <c r="C54" s="248"/>
      <c r="D54" s="248"/>
      <c r="E54" s="248"/>
      <c r="F54" s="248"/>
      <c r="G54" s="248"/>
      <c r="H54" s="248"/>
      <c r="I54" s="248"/>
      <c r="J54" s="248"/>
      <c r="K54" s="249"/>
    </row>
    <row r="55" spans="2:11" x14ac:dyDescent="0.2">
      <c r="B55" s="250"/>
      <c r="C55" s="251"/>
      <c r="D55" s="251"/>
      <c r="E55" s="251"/>
      <c r="F55" s="251"/>
      <c r="G55" s="251"/>
      <c r="H55" s="251"/>
      <c r="I55" s="251"/>
      <c r="J55" s="251"/>
      <c r="K55" s="252"/>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pageSetUpPr autoPageBreaks="0"/>
  </sheetPr>
  <dimension ref="B2:E15"/>
  <sheetViews>
    <sheetView showGridLines="0" workbookViewId="0"/>
  </sheetViews>
  <sheetFormatPr defaultColWidth="8.7109375" defaultRowHeight="12.75" x14ac:dyDescent="0.2"/>
  <cols>
    <col min="1" max="1" width="1.5703125" style="5" customWidth="1"/>
    <col min="2" max="2" width="10.5703125" style="5" bestFit="1" customWidth="1"/>
    <col min="3" max="3" width="62.7109375" style="152" customWidth="1"/>
    <col min="4" max="4" width="10.5703125" style="138" customWidth="1"/>
    <col min="5" max="5" width="12.28515625" style="138" customWidth="1"/>
    <col min="6" max="16384" width="8.7109375" style="5"/>
  </cols>
  <sheetData>
    <row r="2" spans="2:5" x14ac:dyDescent="0.2">
      <c r="B2" s="9" t="s">
        <v>69</v>
      </c>
      <c r="C2" s="10" t="str">
        <f>Overview!C11</f>
        <v>Rocky Mountain Health Plans</v>
      </c>
      <c r="D2" s="5"/>
    </row>
    <row r="3" spans="2:5" x14ac:dyDescent="0.2">
      <c r="B3" s="9" t="s">
        <v>71</v>
      </c>
      <c r="C3" s="10" t="str">
        <f>Overview!$C$12</f>
        <v>Region 01</v>
      </c>
      <c r="D3" s="5"/>
    </row>
    <row r="4" spans="2:5" x14ac:dyDescent="0.2">
      <c r="B4" s="9" t="s">
        <v>20</v>
      </c>
      <c r="C4" s="11" t="s">
        <v>117</v>
      </c>
      <c r="D4" s="5"/>
    </row>
    <row r="5" spans="2:5" x14ac:dyDescent="0.2">
      <c r="B5" s="9" t="s">
        <v>21</v>
      </c>
      <c r="C5" s="10" t="str">
        <f>Overview!C13</f>
        <v>July 1, 2022 - June 30, 2023</v>
      </c>
      <c r="D5" s="5"/>
    </row>
    <row r="6" spans="2:5" x14ac:dyDescent="0.2">
      <c r="C6" s="5"/>
      <c r="D6" s="5"/>
    </row>
    <row r="7" spans="2:5" ht="13.5" thickBot="1" x14ac:dyDescent="0.25">
      <c r="B7" s="48" t="s">
        <v>178</v>
      </c>
      <c r="C7" s="5"/>
    </row>
    <row r="8" spans="2:5" x14ac:dyDescent="0.2">
      <c r="B8" s="139" t="s">
        <v>179</v>
      </c>
      <c r="C8" s="140"/>
      <c r="D8" s="140"/>
      <c r="E8" s="141"/>
    </row>
    <row r="9" spans="2:5" ht="13.5" thickBot="1" x14ac:dyDescent="0.25">
      <c r="B9" s="142" t="s">
        <v>180</v>
      </c>
      <c r="C9" s="143"/>
      <c r="D9" s="143"/>
      <c r="E9" s="144"/>
    </row>
    <row r="11" spans="2:5" x14ac:dyDescent="0.2">
      <c r="B11" s="145" t="s">
        <v>181</v>
      </c>
      <c r="C11" s="146" t="s">
        <v>182</v>
      </c>
      <c r="D11" s="145" t="s">
        <v>92</v>
      </c>
      <c r="E11" s="145" t="s">
        <v>183</v>
      </c>
    </row>
    <row r="12" spans="2:5" s="151" customFormat="1" x14ac:dyDescent="0.25">
      <c r="B12" s="147">
        <v>1</v>
      </c>
      <c r="C12" s="148" t="s">
        <v>184</v>
      </c>
      <c r="D12" s="149">
        <v>0.01</v>
      </c>
      <c r="E12" s="150" t="s">
        <v>275</v>
      </c>
    </row>
    <row r="13" spans="2:5" s="151" customFormat="1" x14ac:dyDescent="0.25">
      <c r="B13" s="147">
        <v>2</v>
      </c>
      <c r="C13" s="148" t="s">
        <v>184</v>
      </c>
      <c r="D13" s="149">
        <v>0.01</v>
      </c>
      <c r="E13" s="150" t="s">
        <v>275</v>
      </c>
    </row>
    <row r="14" spans="2:5" s="151" customFormat="1" x14ac:dyDescent="0.25">
      <c r="B14" s="147">
        <v>3</v>
      </c>
      <c r="C14" s="148" t="s">
        <v>184</v>
      </c>
      <c r="D14" s="149">
        <v>0.01</v>
      </c>
      <c r="E14" s="150" t="s">
        <v>275</v>
      </c>
    </row>
    <row r="15" spans="2:5" s="151" customFormat="1" x14ac:dyDescent="0.25">
      <c r="B15" s="147">
        <v>4</v>
      </c>
      <c r="C15" s="148" t="s">
        <v>184</v>
      </c>
      <c r="D15" s="149">
        <v>0.01</v>
      </c>
      <c r="E15" s="150"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pageSetUpPr autoPageBreaks="0"/>
  </sheetPr>
  <dimension ref="A2:J66"/>
  <sheetViews>
    <sheetView showGridLines="0" zoomScaleNormal="100" workbookViewId="0">
      <selection activeCell="D55" sqref="D55"/>
    </sheetView>
  </sheetViews>
  <sheetFormatPr defaultColWidth="8.7109375" defaultRowHeight="12.75" x14ac:dyDescent="0.2"/>
  <cols>
    <col min="1" max="1" width="1.5703125" style="5" customWidth="1"/>
    <col min="2" max="2" width="11.42578125" style="152" customWidth="1"/>
    <col min="3" max="3" width="67.28515625" style="138" customWidth="1"/>
    <col min="4" max="4" width="12.7109375" style="5" customWidth="1"/>
    <col min="5" max="16384" width="8.7109375" style="5"/>
  </cols>
  <sheetData>
    <row r="2" spans="1:10" x14ac:dyDescent="0.2">
      <c r="B2" s="9" t="s">
        <v>69</v>
      </c>
      <c r="C2" s="10" t="str">
        <f>Overview!C11</f>
        <v>Rocky Mountain Health Plans</v>
      </c>
      <c r="E2" s="138"/>
    </row>
    <row r="3" spans="1:10" x14ac:dyDescent="0.2">
      <c r="B3" s="9" t="s">
        <v>71</v>
      </c>
      <c r="C3" s="10" t="str">
        <f>Overview!$C$12</f>
        <v>Region 01</v>
      </c>
      <c r="E3" s="138"/>
    </row>
    <row r="4" spans="1:10" x14ac:dyDescent="0.2">
      <c r="B4" s="9" t="s">
        <v>20</v>
      </c>
      <c r="C4" s="11" t="s">
        <v>93</v>
      </c>
      <c r="E4" s="138"/>
    </row>
    <row r="5" spans="1:10" x14ac:dyDescent="0.2">
      <c r="B5" s="9" t="s">
        <v>21</v>
      </c>
      <c r="C5" s="10" t="str">
        <f>Overview!C13</f>
        <v>July 1, 2022 - June 30, 2023</v>
      </c>
      <c r="E5" s="138"/>
    </row>
    <row r="6" spans="1:10" x14ac:dyDescent="0.2">
      <c r="B6" s="9"/>
      <c r="C6" s="10"/>
      <c r="E6" s="138"/>
    </row>
    <row r="7" spans="1:10" ht="15.75" thickBot="1" x14ac:dyDescent="0.3">
      <c r="A7" s="48"/>
      <c r="B7" s="48" t="s">
        <v>185</v>
      </c>
      <c r="G7"/>
      <c r="H7"/>
      <c r="I7"/>
      <c r="J7"/>
    </row>
    <row r="8" spans="1:10" ht="15" x14ac:dyDescent="0.25">
      <c r="A8" s="48"/>
      <c r="B8" s="153" t="s">
        <v>186</v>
      </c>
      <c r="C8" s="154"/>
      <c r="D8" s="155"/>
      <c r="G8"/>
      <c r="H8"/>
      <c r="I8"/>
      <c r="J8"/>
    </row>
    <row r="9" spans="1:10" ht="15" x14ac:dyDescent="0.25">
      <c r="A9" s="48"/>
      <c r="B9" s="156" t="s">
        <v>187</v>
      </c>
      <c r="D9" s="157"/>
      <c r="G9"/>
      <c r="H9"/>
      <c r="I9"/>
      <c r="J9"/>
    </row>
    <row r="10" spans="1:10" ht="15" x14ac:dyDescent="0.25">
      <c r="A10" s="48"/>
      <c r="B10" s="156"/>
      <c r="D10" s="157"/>
      <c r="H10"/>
      <c r="I10"/>
      <c r="J10"/>
    </row>
    <row r="11" spans="1:10" ht="15" x14ac:dyDescent="0.25">
      <c r="A11" s="48"/>
      <c r="B11" s="158" t="s">
        <v>188</v>
      </c>
      <c r="D11" s="157"/>
      <c r="H11"/>
      <c r="I11"/>
      <c r="J11"/>
    </row>
    <row r="12" spans="1:10" ht="15" x14ac:dyDescent="0.25">
      <c r="A12" s="48"/>
      <c r="B12" s="156" t="s">
        <v>189</v>
      </c>
      <c r="D12" s="157"/>
      <c r="H12"/>
      <c r="I12"/>
      <c r="J12"/>
    </row>
    <row r="13" spans="1:10" ht="15" x14ac:dyDescent="0.25">
      <c r="A13" s="48"/>
      <c r="B13" s="156" t="s">
        <v>190</v>
      </c>
      <c r="D13" s="157"/>
      <c r="H13"/>
      <c r="I13"/>
      <c r="J13"/>
    </row>
    <row r="14" spans="1:10" x14ac:dyDescent="0.2">
      <c r="A14" s="48"/>
      <c r="B14" s="156" t="s">
        <v>191</v>
      </c>
      <c r="D14" s="157"/>
    </row>
    <row r="15" spans="1:10" ht="13.5" thickBot="1" x14ac:dyDescent="0.25">
      <c r="A15" s="48"/>
      <c r="B15" s="159" t="s">
        <v>192</v>
      </c>
      <c r="C15" s="160"/>
      <c r="D15" s="161"/>
    </row>
    <row r="16" spans="1:10" x14ac:dyDescent="0.2">
      <c r="A16" s="48"/>
      <c r="B16" s="5"/>
    </row>
    <row r="17" spans="2:4" x14ac:dyDescent="0.2">
      <c r="B17" s="117" t="s">
        <v>5</v>
      </c>
      <c r="C17" s="117" t="s">
        <v>193</v>
      </c>
      <c r="D17" s="117"/>
    </row>
    <row r="18" spans="2:4" x14ac:dyDescent="0.2">
      <c r="B18" s="162" t="s">
        <v>194</v>
      </c>
      <c r="C18" s="163"/>
      <c r="D18" s="164"/>
    </row>
    <row r="19" spans="2:4" x14ac:dyDescent="0.2">
      <c r="B19" s="165">
        <v>1</v>
      </c>
      <c r="C19" s="166" t="s">
        <v>195</v>
      </c>
      <c r="D19" s="167">
        <v>0</v>
      </c>
    </row>
    <row r="20" spans="2:4" x14ac:dyDescent="0.2">
      <c r="B20" s="165">
        <v>2</v>
      </c>
      <c r="C20" s="166" t="s">
        <v>196</v>
      </c>
      <c r="D20" s="167">
        <v>450143.18261491979</v>
      </c>
    </row>
    <row r="21" spans="2:4" x14ac:dyDescent="0.2">
      <c r="B21" s="165">
        <v>3</v>
      </c>
      <c r="C21" s="166" t="s">
        <v>197</v>
      </c>
      <c r="D21" s="167">
        <v>4894422.4949275795</v>
      </c>
    </row>
    <row r="22" spans="2:4" x14ac:dyDescent="0.2">
      <c r="B22" s="165">
        <v>4</v>
      </c>
      <c r="C22" s="166" t="s">
        <v>198</v>
      </c>
      <c r="D22" s="168">
        <v>109618.23035167267</v>
      </c>
    </row>
    <row r="23" spans="2:4" x14ac:dyDescent="0.2">
      <c r="B23" s="165">
        <v>5</v>
      </c>
      <c r="C23" s="166" t="s">
        <v>199</v>
      </c>
      <c r="D23" s="167">
        <v>0</v>
      </c>
    </row>
    <row r="24" spans="2:4" x14ac:dyDescent="0.2">
      <c r="B24" s="165">
        <v>6</v>
      </c>
      <c r="C24" s="166" t="s">
        <v>200</v>
      </c>
      <c r="D24" s="167">
        <v>0</v>
      </c>
    </row>
    <row r="25" spans="2:4" x14ac:dyDescent="0.2">
      <c r="B25" s="165">
        <v>7</v>
      </c>
      <c r="C25" s="166" t="s">
        <v>201</v>
      </c>
      <c r="D25" s="168">
        <v>1395247.3595761638</v>
      </c>
    </row>
    <row r="26" spans="2:4" x14ac:dyDescent="0.2">
      <c r="B26" s="165">
        <v>8</v>
      </c>
      <c r="C26" s="166" t="s">
        <v>202</v>
      </c>
      <c r="D26" s="168">
        <v>393244.05939712789</v>
      </c>
    </row>
    <row r="27" spans="2:4" x14ac:dyDescent="0.2">
      <c r="B27" s="165">
        <v>9</v>
      </c>
      <c r="C27" s="166" t="s">
        <v>203</v>
      </c>
      <c r="D27" s="168">
        <v>208060.50313426118</v>
      </c>
    </row>
    <row r="28" spans="2:4" x14ac:dyDescent="0.2">
      <c r="B28" s="165">
        <v>10</v>
      </c>
      <c r="C28" s="166" t="s">
        <v>204</v>
      </c>
      <c r="D28" s="168">
        <v>3228689.7407427924</v>
      </c>
    </row>
    <row r="29" spans="2:4" x14ac:dyDescent="0.2">
      <c r="B29" s="165">
        <v>11</v>
      </c>
      <c r="C29" s="166" t="s">
        <v>205</v>
      </c>
      <c r="D29" s="168">
        <v>397538.31134890759</v>
      </c>
    </row>
    <row r="30" spans="2:4" x14ac:dyDescent="0.2">
      <c r="B30" s="165">
        <v>12</v>
      </c>
      <c r="C30" s="166" t="s">
        <v>206</v>
      </c>
      <c r="D30" s="168">
        <v>948859.07314851764</v>
      </c>
    </row>
    <row r="31" spans="2:4" x14ac:dyDescent="0.2">
      <c r="B31" s="165">
        <v>13</v>
      </c>
      <c r="C31" s="166" t="s">
        <v>207</v>
      </c>
      <c r="D31" s="168">
        <v>0</v>
      </c>
    </row>
    <row r="32" spans="2:4" x14ac:dyDescent="0.2">
      <c r="B32" s="165">
        <v>14</v>
      </c>
      <c r="C32" s="166" t="s">
        <v>208</v>
      </c>
      <c r="D32" s="168">
        <v>0</v>
      </c>
    </row>
    <row r="33" spans="2:4" x14ac:dyDescent="0.2">
      <c r="B33" s="165">
        <v>15</v>
      </c>
      <c r="C33" s="166" t="s">
        <v>209</v>
      </c>
      <c r="D33" s="168">
        <v>0</v>
      </c>
    </row>
    <row r="34" spans="2:4" x14ac:dyDescent="0.2">
      <c r="B34" s="165">
        <v>16</v>
      </c>
      <c r="C34" s="166" t="s">
        <v>210</v>
      </c>
      <c r="D34" s="168">
        <v>0</v>
      </c>
    </row>
    <row r="35" spans="2:4" x14ac:dyDescent="0.2">
      <c r="B35" s="165">
        <v>17</v>
      </c>
      <c r="C35" s="166" t="s">
        <v>211</v>
      </c>
      <c r="D35" s="168">
        <v>1089657.6692635121</v>
      </c>
    </row>
    <row r="36" spans="2:4" x14ac:dyDescent="0.2">
      <c r="B36" s="165">
        <v>18</v>
      </c>
      <c r="C36" s="166" t="s">
        <v>212</v>
      </c>
      <c r="D36" s="168">
        <v>0</v>
      </c>
    </row>
    <row r="37" spans="2:4" x14ac:dyDescent="0.2">
      <c r="B37" s="165">
        <v>19</v>
      </c>
      <c r="C37" s="166" t="s">
        <v>79</v>
      </c>
      <c r="D37" s="168">
        <v>0</v>
      </c>
    </row>
    <row r="38" spans="2:4" x14ac:dyDescent="0.2">
      <c r="B38" s="165">
        <v>20</v>
      </c>
      <c r="C38" s="166" t="s">
        <v>213</v>
      </c>
      <c r="D38" s="168">
        <v>0</v>
      </c>
    </row>
    <row r="39" spans="2:4" x14ac:dyDescent="0.2">
      <c r="B39" s="165">
        <v>21</v>
      </c>
      <c r="C39" s="166" t="s">
        <v>214</v>
      </c>
      <c r="D39" s="168">
        <v>2702397.4799999981</v>
      </c>
    </row>
    <row r="40" spans="2:4" x14ac:dyDescent="0.2">
      <c r="B40" s="165">
        <v>22</v>
      </c>
      <c r="C40" s="166" t="s">
        <v>215</v>
      </c>
      <c r="D40" s="168">
        <v>668801.15000000014</v>
      </c>
    </row>
    <row r="41" spans="2:4" x14ac:dyDescent="0.2">
      <c r="B41" s="165">
        <v>23</v>
      </c>
      <c r="C41" s="166" t="s">
        <v>216</v>
      </c>
      <c r="D41" s="168">
        <v>0</v>
      </c>
    </row>
    <row r="42" spans="2:4" ht="13.5" thickBot="1" x14ac:dyDescent="0.25">
      <c r="B42" s="169">
        <v>24</v>
      </c>
      <c r="C42" s="170" t="s">
        <v>217</v>
      </c>
      <c r="D42" s="168">
        <v>5595</v>
      </c>
    </row>
    <row r="43" spans="2:4" ht="13.5" thickTop="1" x14ac:dyDescent="0.2">
      <c r="B43" s="172" t="s">
        <v>218</v>
      </c>
      <c r="C43" s="172"/>
      <c r="D43" s="173">
        <f>SUM(D19:D42)</f>
        <v>16492274.254505452</v>
      </c>
    </row>
    <row r="44" spans="2:4" x14ac:dyDescent="0.2">
      <c r="B44" s="100"/>
      <c r="C44" s="100"/>
      <c r="D44" s="174"/>
    </row>
    <row r="45" spans="2:4" x14ac:dyDescent="0.2">
      <c r="B45" s="162" t="s">
        <v>219</v>
      </c>
      <c r="C45" s="162"/>
      <c r="D45" s="175"/>
    </row>
    <row r="46" spans="2:4" x14ac:dyDescent="0.2">
      <c r="B46" s="165">
        <v>24</v>
      </c>
      <c r="C46" s="166" t="s">
        <v>220</v>
      </c>
      <c r="D46" s="168">
        <v>0</v>
      </c>
    </row>
    <row r="47" spans="2:4" x14ac:dyDescent="0.2">
      <c r="B47" s="165">
        <v>25</v>
      </c>
      <c r="C47" s="166" t="s">
        <v>221</v>
      </c>
      <c r="D47" s="168">
        <v>3536.4074219784961</v>
      </c>
    </row>
    <row r="48" spans="2:4" x14ac:dyDescent="0.2">
      <c r="B48" s="165">
        <v>26</v>
      </c>
      <c r="C48" s="166" t="s">
        <v>222</v>
      </c>
      <c r="D48" s="168">
        <v>23939.839619625775</v>
      </c>
    </row>
    <row r="49" spans="2:4" x14ac:dyDescent="0.2">
      <c r="B49" s="165">
        <v>27</v>
      </c>
      <c r="C49" s="166" t="s">
        <v>223</v>
      </c>
      <c r="D49" s="168">
        <v>0</v>
      </c>
    </row>
    <row r="50" spans="2:4" x14ac:dyDescent="0.2">
      <c r="B50" s="165">
        <v>28</v>
      </c>
      <c r="C50" s="166" t="s">
        <v>224</v>
      </c>
      <c r="D50" s="168">
        <v>0</v>
      </c>
    </row>
    <row r="51" spans="2:4" x14ac:dyDescent="0.2">
      <c r="B51" s="165">
        <v>29</v>
      </c>
      <c r="C51" s="166" t="s">
        <v>225</v>
      </c>
      <c r="D51" s="168">
        <v>315692.23332449788</v>
      </c>
    </row>
    <row r="52" spans="2:4" x14ac:dyDescent="0.2">
      <c r="B52" s="165">
        <v>30</v>
      </c>
      <c r="C52" s="176" t="s">
        <v>226</v>
      </c>
      <c r="D52" s="168">
        <v>0</v>
      </c>
    </row>
    <row r="53" spans="2:4" ht="13.5" thickBot="1" x14ac:dyDescent="0.25">
      <c r="B53" s="169">
        <v>31</v>
      </c>
      <c r="C53" s="177" t="s">
        <v>226</v>
      </c>
      <c r="D53" s="171">
        <v>0</v>
      </c>
    </row>
    <row r="54" spans="2:4" ht="14.25" thickTop="1" thickBot="1" x14ac:dyDescent="0.25">
      <c r="B54" s="172" t="s">
        <v>227</v>
      </c>
      <c r="C54" s="172"/>
      <c r="D54" s="173">
        <f>SUM(D46:D53)</f>
        <v>343168.48036610213</v>
      </c>
    </row>
    <row r="55" spans="2:4" ht="13.5" thickTop="1" x14ac:dyDescent="0.2">
      <c r="B55" s="172" t="s">
        <v>228</v>
      </c>
      <c r="C55" s="172"/>
      <c r="D55" s="173">
        <f>D43+D54</f>
        <v>16835442.734871555</v>
      </c>
    </row>
    <row r="56" spans="2:4" x14ac:dyDescent="0.2">
      <c r="B56" s="5"/>
    </row>
    <row r="57" spans="2:4" x14ac:dyDescent="0.2">
      <c r="B57" s="162" t="s">
        <v>229</v>
      </c>
      <c r="C57" s="163"/>
      <c r="D57" s="162"/>
    </row>
    <row r="58" spans="2:4" x14ac:dyDescent="0.2">
      <c r="B58" s="235" t="s">
        <v>281</v>
      </c>
      <c r="C58" s="236"/>
      <c r="D58" s="237"/>
    </row>
    <row r="59" spans="2:4" x14ac:dyDescent="0.2">
      <c r="B59" s="238"/>
      <c r="C59" s="239"/>
      <c r="D59" s="240"/>
    </row>
    <row r="60" spans="2:4" x14ac:dyDescent="0.2">
      <c r="B60" s="238"/>
      <c r="C60" s="239"/>
      <c r="D60" s="240"/>
    </row>
    <row r="61" spans="2:4" x14ac:dyDescent="0.2">
      <c r="B61" s="238"/>
      <c r="C61" s="239"/>
      <c r="D61" s="240"/>
    </row>
    <row r="62" spans="2:4" x14ac:dyDescent="0.2">
      <c r="B62" s="238"/>
      <c r="C62" s="239"/>
      <c r="D62" s="240"/>
    </row>
    <row r="63" spans="2:4" x14ac:dyDescent="0.2">
      <c r="B63" s="241"/>
      <c r="C63" s="242"/>
      <c r="D63" s="243"/>
    </row>
    <row r="64" spans="2:4" x14ac:dyDescent="0.2">
      <c r="B64" s="5"/>
    </row>
    <row r="65" spans="1:10" x14ac:dyDescent="0.2">
      <c r="B65" s="5"/>
    </row>
    <row r="66" spans="1:10" s="138" customFormat="1" x14ac:dyDescent="0.2">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7"/>
  <sheetViews>
    <sheetView zoomScaleNormal="100" zoomScaleSheetLayoutView="70" workbookViewId="0">
      <selection activeCell="C10" sqref="C10"/>
    </sheetView>
  </sheetViews>
  <sheetFormatPr defaultColWidth="8.7109375" defaultRowHeight="12.75" x14ac:dyDescent="0.2"/>
  <cols>
    <col min="1" max="1" width="2.28515625" style="5" customWidth="1"/>
    <col min="2" max="2" width="11" style="5" bestFit="1" customWidth="1"/>
    <col min="3" max="3" width="23.28515625" style="5" bestFit="1" customWidth="1"/>
    <col min="4" max="8" width="9.7109375" style="5" customWidth="1"/>
    <col min="9" max="9" width="2.28515625" style="5" customWidth="1"/>
    <col min="10" max="10" width="11" style="5" bestFit="1" customWidth="1"/>
    <col min="11" max="11" width="18.28515625" style="5" bestFit="1" customWidth="1"/>
    <col min="12" max="16" width="13.7109375" style="5" customWidth="1"/>
    <col min="17" max="17" width="2.28515625" style="5" customWidth="1"/>
    <col min="18" max="16384" width="8.7109375" style="5"/>
  </cols>
  <sheetData>
    <row r="2" spans="2:16" x14ac:dyDescent="0.2">
      <c r="B2" s="9" t="s">
        <v>69</v>
      </c>
      <c r="C2" s="10" t="str">
        <f>Overview!$C$11</f>
        <v>Rocky Mountain Health Plans</v>
      </c>
    </row>
    <row r="3" spans="2:16" x14ac:dyDescent="0.2">
      <c r="B3" s="9" t="s">
        <v>71</v>
      </c>
      <c r="C3" s="10" t="str">
        <f>Overview!C12</f>
        <v>Region 01</v>
      </c>
    </row>
    <row r="4" spans="2:16" x14ac:dyDescent="0.2">
      <c r="B4" s="9" t="s">
        <v>20</v>
      </c>
      <c r="C4" s="11" t="s">
        <v>97</v>
      </c>
    </row>
    <row r="5" spans="2:16" x14ac:dyDescent="0.2">
      <c r="B5" s="9" t="s">
        <v>21</v>
      </c>
      <c r="C5" s="10" t="str">
        <f>Overview!C13</f>
        <v>July 1, 2022 - June 30, 2023</v>
      </c>
      <c r="D5" s="233" t="s">
        <v>292</v>
      </c>
    </row>
    <row r="6" spans="2:16" x14ac:dyDescent="0.2">
      <c r="B6" s="9"/>
      <c r="C6" s="10"/>
    </row>
    <row r="7" spans="2:16" ht="15" x14ac:dyDescent="0.25">
      <c r="B7" s="55" t="s">
        <v>98</v>
      </c>
    </row>
    <row r="8" spans="2:16" x14ac:dyDescent="0.2">
      <c r="B8" s="9"/>
    </row>
    <row r="9" spans="2:16" x14ac:dyDescent="0.2">
      <c r="B9" s="9"/>
      <c r="C9" s="43" t="s">
        <v>62</v>
      </c>
    </row>
    <row r="10" spans="2:16" x14ac:dyDescent="0.2">
      <c r="B10" s="9"/>
      <c r="C10" s="38">
        <v>634355.61</v>
      </c>
      <c r="D10" s="5" t="s">
        <v>282</v>
      </c>
    </row>
    <row r="11" spans="2:16" x14ac:dyDescent="0.2">
      <c r="B11" s="9"/>
      <c r="C11" s="10"/>
      <c r="J11" s="9"/>
      <c r="K11" s="10"/>
    </row>
    <row r="12" spans="2:16" x14ac:dyDescent="0.2">
      <c r="C12" s="30"/>
      <c r="D12" s="26" t="s">
        <v>49</v>
      </c>
      <c r="E12" s="26"/>
      <c r="F12" s="26"/>
      <c r="G12" s="26"/>
      <c r="H12" s="26"/>
      <c r="K12" s="30"/>
      <c r="L12" s="26" t="s">
        <v>70</v>
      </c>
      <c r="M12" s="26"/>
      <c r="N12" s="26"/>
      <c r="O12" s="26"/>
      <c r="P12" s="26"/>
    </row>
    <row r="13" spans="2:16" x14ac:dyDescent="0.2">
      <c r="B13" s="26" t="s">
        <v>269</v>
      </c>
      <c r="C13" s="31" t="s">
        <v>42</v>
      </c>
      <c r="D13" s="33" t="s">
        <v>50</v>
      </c>
      <c r="E13" s="33" t="s">
        <v>51</v>
      </c>
      <c r="F13" s="33" t="s">
        <v>52</v>
      </c>
      <c r="G13" s="31" t="s">
        <v>40</v>
      </c>
      <c r="H13" s="31" t="s">
        <v>41</v>
      </c>
      <c r="J13" s="26" t="str">
        <f>B13</f>
        <v>JUL'22</v>
      </c>
      <c r="K13" s="31" t="s">
        <v>42</v>
      </c>
      <c r="L13" s="33" t="s">
        <v>50</v>
      </c>
      <c r="M13" s="33" t="s">
        <v>51</v>
      </c>
      <c r="N13" s="33" t="s">
        <v>52</v>
      </c>
      <c r="O13" s="31" t="s">
        <v>40</v>
      </c>
      <c r="P13" s="31" t="s">
        <v>41</v>
      </c>
    </row>
    <row r="14" spans="2:16" ht="15" x14ac:dyDescent="0.25">
      <c r="B14"/>
      <c r="C14" s="6" t="s">
        <v>43</v>
      </c>
      <c r="D14" s="219"/>
      <c r="E14" s="219"/>
      <c r="F14" s="34">
        <v>183</v>
      </c>
      <c r="G14" s="219"/>
      <c r="H14" s="34">
        <v>134</v>
      </c>
      <c r="J14"/>
      <c r="K14" s="6" t="s">
        <v>43</v>
      </c>
      <c r="L14" s="220"/>
      <c r="M14" s="220"/>
      <c r="N14" s="38">
        <v>166400</v>
      </c>
      <c r="O14" s="220"/>
      <c r="P14" s="38">
        <v>125933.87</v>
      </c>
    </row>
    <row r="15" spans="2:16" ht="15" x14ac:dyDescent="0.25">
      <c r="B15"/>
      <c r="C15" s="6" t="s">
        <v>44</v>
      </c>
      <c r="D15" s="34">
        <v>77</v>
      </c>
      <c r="E15" s="34">
        <v>1685</v>
      </c>
      <c r="F15" s="219"/>
      <c r="G15" s="34">
        <v>411</v>
      </c>
      <c r="H15" s="219"/>
      <c r="J15"/>
      <c r="K15" s="6" t="s">
        <v>44</v>
      </c>
      <c r="L15" s="38">
        <v>11200</v>
      </c>
      <c r="M15" s="38">
        <v>626615</v>
      </c>
      <c r="N15" s="220"/>
      <c r="O15" s="38">
        <v>145922.6</v>
      </c>
      <c r="P15" s="220"/>
    </row>
    <row r="16" spans="2:16" ht="15.75" thickBot="1" x14ac:dyDescent="0.3">
      <c r="B16"/>
      <c r="C16" s="8" t="s">
        <v>45</v>
      </c>
      <c r="D16" s="36"/>
      <c r="E16" s="36"/>
      <c r="F16" s="36">
        <v>7</v>
      </c>
      <c r="G16" s="36"/>
      <c r="H16" s="36">
        <v>92</v>
      </c>
      <c r="J16"/>
      <c r="K16" s="8" t="s">
        <v>45</v>
      </c>
      <c r="L16" s="39"/>
      <c r="M16" s="39"/>
      <c r="N16" s="39">
        <v>4686.5</v>
      </c>
      <c r="O16" s="39"/>
      <c r="P16" s="39">
        <v>81691.520000000004</v>
      </c>
    </row>
    <row r="17" spans="2:16" ht="15.75" thickTop="1" x14ac:dyDescent="0.25">
      <c r="B17"/>
      <c r="C17" s="35" t="s">
        <v>29</v>
      </c>
      <c r="D17" s="37">
        <f>SUM(D14:D16)</f>
        <v>77</v>
      </c>
      <c r="E17" s="37">
        <f t="shared" ref="E17:H17" si="0">SUM(E14:E16)</f>
        <v>1685</v>
      </c>
      <c r="F17" s="37">
        <f t="shared" si="0"/>
        <v>190</v>
      </c>
      <c r="G17" s="37">
        <f t="shared" si="0"/>
        <v>411</v>
      </c>
      <c r="H17" s="37">
        <f t="shared" si="0"/>
        <v>226</v>
      </c>
      <c r="J17"/>
      <c r="K17" s="35" t="s">
        <v>29</v>
      </c>
      <c r="L17" s="40">
        <f>SUM(L14:L16)</f>
        <v>11200</v>
      </c>
      <c r="M17" s="40">
        <f t="shared" ref="M17:P17" si="1">SUM(M14:M16)</f>
        <v>626615</v>
      </c>
      <c r="N17" s="40">
        <f t="shared" si="1"/>
        <v>171086.5</v>
      </c>
      <c r="O17" s="40">
        <f t="shared" si="1"/>
        <v>145922.6</v>
      </c>
      <c r="P17" s="40">
        <f t="shared" si="1"/>
        <v>207625.39</v>
      </c>
    </row>
    <row r="18" spans="2:16" ht="15" x14ac:dyDescent="0.25">
      <c r="B18"/>
      <c r="C18"/>
      <c r="D18"/>
      <c r="E18"/>
      <c r="F18"/>
      <c r="G18"/>
      <c r="H18"/>
      <c r="J18"/>
      <c r="K18"/>
    </row>
    <row r="19" spans="2:16" x14ac:dyDescent="0.2">
      <c r="C19" s="30"/>
      <c r="D19" s="26" t="s">
        <v>49</v>
      </c>
      <c r="E19" s="26"/>
      <c r="F19" s="26"/>
      <c r="G19" s="26"/>
      <c r="H19" s="26"/>
      <c r="K19" s="30"/>
      <c r="L19" s="26" t="s">
        <v>70</v>
      </c>
      <c r="M19" s="26"/>
      <c r="N19" s="26"/>
      <c r="O19" s="26"/>
      <c r="P19" s="26"/>
    </row>
    <row r="20" spans="2:16" x14ac:dyDescent="0.2">
      <c r="B20" s="26" t="s">
        <v>270</v>
      </c>
      <c r="C20" s="31" t="s">
        <v>42</v>
      </c>
      <c r="D20" s="33" t="s">
        <v>50</v>
      </c>
      <c r="E20" s="33" t="s">
        <v>51</v>
      </c>
      <c r="F20" s="33" t="s">
        <v>52</v>
      </c>
      <c r="G20" s="31" t="s">
        <v>40</v>
      </c>
      <c r="H20" s="31" t="s">
        <v>41</v>
      </c>
      <c r="J20" s="26" t="str">
        <f>B20</f>
        <v>AUG'22</v>
      </c>
      <c r="K20" s="31" t="s">
        <v>42</v>
      </c>
      <c r="L20" s="33" t="s">
        <v>50</v>
      </c>
      <c r="M20" s="33" t="s">
        <v>51</v>
      </c>
      <c r="N20" s="33" t="s">
        <v>52</v>
      </c>
      <c r="O20" s="31" t="s">
        <v>40</v>
      </c>
      <c r="P20" s="31" t="s">
        <v>41</v>
      </c>
    </row>
    <row r="21" spans="2:16" ht="12.75" customHeight="1" x14ac:dyDescent="0.25">
      <c r="B21"/>
      <c r="C21" s="6" t="s">
        <v>43</v>
      </c>
      <c r="D21" s="219"/>
      <c r="E21" s="219"/>
      <c r="F21" s="34">
        <v>208</v>
      </c>
      <c r="G21" s="219"/>
      <c r="H21" s="34">
        <v>192</v>
      </c>
      <c r="J21"/>
      <c r="K21" s="6" t="s">
        <v>43</v>
      </c>
      <c r="L21" s="220"/>
      <c r="M21" s="220"/>
      <c r="N21" s="38">
        <v>191370.1</v>
      </c>
      <c r="O21" s="220"/>
      <c r="P21" s="38">
        <v>180060.92</v>
      </c>
    </row>
    <row r="22" spans="2:16" ht="15" x14ac:dyDescent="0.25">
      <c r="B22"/>
      <c r="C22" s="6" t="s">
        <v>44</v>
      </c>
      <c r="D22" s="34">
        <v>31</v>
      </c>
      <c r="E22" s="34">
        <v>1658</v>
      </c>
      <c r="F22" s="219"/>
      <c r="G22" s="34">
        <v>474</v>
      </c>
      <c r="H22" s="219"/>
      <c r="J22"/>
      <c r="K22" s="6" t="s">
        <v>44</v>
      </c>
      <c r="L22" s="38">
        <v>3100</v>
      </c>
      <c r="M22" s="38">
        <v>553372.5</v>
      </c>
      <c r="N22" s="220"/>
      <c r="O22" s="38">
        <v>169007.04</v>
      </c>
      <c r="P22" s="220"/>
    </row>
    <row r="23" spans="2:16" ht="15.75" thickBot="1" x14ac:dyDescent="0.3">
      <c r="B23"/>
      <c r="C23" s="8" t="s">
        <v>45</v>
      </c>
      <c r="D23" s="36"/>
      <c r="E23" s="36"/>
      <c r="F23" s="36">
        <v>3</v>
      </c>
      <c r="G23" s="36"/>
      <c r="H23" s="36">
        <v>189</v>
      </c>
      <c r="J23"/>
      <c r="K23" s="8" t="s">
        <v>45</v>
      </c>
      <c r="L23" s="39"/>
      <c r="M23" s="39"/>
      <c r="N23" s="39">
        <v>2008.5</v>
      </c>
      <c r="O23" s="39"/>
      <c r="P23" s="39">
        <v>168112.96</v>
      </c>
    </row>
    <row r="24" spans="2:16" ht="15.75" thickTop="1" x14ac:dyDescent="0.25">
      <c r="B24"/>
      <c r="C24" s="35" t="s">
        <v>29</v>
      </c>
      <c r="D24" s="37">
        <f>SUM(D21:D23)</f>
        <v>31</v>
      </c>
      <c r="E24" s="37">
        <f t="shared" ref="E24:H24" si="2">SUM(E21:E23)</f>
        <v>1658</v>
      </c>
      <c r="F24" s="37">
        <f t="shared" si="2"/>
        <v>211</v>
      </c>
      <c r="G24" s="37">
        <f t="shared" si="2"/>
        <v>474</v>
      </c>
      <c r="H24" s="37">
        <f t="shared" si="2"/>
        <v>381</v>
      </c>
      <c r="J24"/>
      <c r="K24" s="35" t="s">
        <v>29</v>
      </c>
      <c r="L24" s="40">
        <f>SUM(L21:L23)</f>
        <v>3100</v>
      </c>
      <c r="M24" s="40">
        <f t="shared" ref="M24:P24" si="3">SUM(M21:M23)</f>
        <v>553372.5</v>
      </c>
      <c r="N24" s="40">
        <f t="shared" si="3"/>
        <v>193378.6</v>
      </c>
      <c r="O24" s="40">
        <f t="shared" si="3"/>
        <v>169007.04</v>
      </c>
      <c r="P24" s="40">
        <f t="shared" si="3"/>
        <v>348173.88</v>
      </c>
    </row>
    <row r="25" spans="2:16" ht="15" x14ac:dyDescent="0.25">
      <c r="B25"/>
      <c r="C25"/>
      <c r="D25"/>
      <c r="E25"/>
      <c r="F25"/>
      <c r="G25"/>
      <c r="H25"/>
      <c r="J25"/>
      <c r="K25"/>
      <c r="L25"/>
      <c r="M25"/>
    </row>
    <row r="26" spans="2:16" x14ac:dyDescent="0.2">
      <c r="C26" s="30"/>
      <c r="D26" s="26" t="s">
        <v>49</v>
      </c>
      <c r="E26" s="26"/>
      <c r="F26" s="26"/>
      <c r="G26" s="26"/>
      <c r="H26" s="26"/>
      <c r="K26" s="30"/>
      <c r="L26" s="26" t="s">
        <v>70</v>
      </c>
      <c r="M26" s="26"/>
      <c r="N26" s="26"/>
      <c r="O26" s="26"/>
      <c r="P26" s="26"/>
    </row>
    <row r="27" spans="2:16" x14ac:dyDescent="0.2">
      <c r="B27" s="26" t="s">
        <v>271</v>
      </c>
      <c r="C27" s="31" t="s">
        <v>42</v>
      </c>
      <c r="D27" s="33" t="s">
        <v>50</v>
      </c>
      <c r="E27" s="33" t="s">
        <v>51</v>
      </c>
      <c r="F27" s="33" t="s">
        <v>52</v>
      </c>
      <c r="G27" s="31" t="s">
        <v>40</v>
      </c>
      <c r="H27" s="31" t="s">
        <v>41</v>
      </c>
      <c r="J27" s="26" t="str">
        <f>B27</f>
        <v>SEP'22</v>
      </c>
      <c r="K27" s="31" t="s">
        <v>42</v>
      </c>
      <c r="L27" s="33" t="s">
        <v>50</v>
      </c>
      <c r="M27" s="33" t="s">
        <v>51</v>
      </c>
      <c r="N27" s="33" t="s">
        <v>52</v>
      </c>
      <c r="O27" s="31" t="s">
        <v>40</v>
      </c>
      <c r="P27" s="31" t="s">
        <v>41</v>
      </c>
    </row>
    <row r="28" spans="2:16" ht="15" x14ac:dyDescent="0.25">
      <c r="B28"/>
      <c r="C28" s="6" t="s">
        <v>43</v>
      </c>
      <c r="D28" s="219"/>
      <c r="E28" s="219"/>
      <c r="F28" s="34">
        <v>103</v>
      </c>
      <c r="G28" s="219"/>
      <c r="H28" s="34">
        <v>152</v>
      </c>
      <c r="J28"/>
      <c r="K28" s="6" t="s">
        <v>43</v>
      </c>
      <c r="L28" s="220"/>
      <c r="M28" s="220"/>
      <c r="N28" s="38">
        <v>90522.14</v>
      </c>
      <c r="O28" s="220"/>
      <c r="P28" s="38">
        <v>128526.34</v>
      </c>
    </row>
    <row r="29" spans="2:16" ht="15" x14ac:dyDescent="0.25">
      <c r="B29"/>
      <c r="C29" s="6" t="s">
        <v>44</v>
      </c>
      <c r="D29" s="34">
        <v>158</v>
      </c>
      <c r="E29" s="34">
        <v>1565</v>
      </c>
      <c r="F29" s="219"/>
      <c r="G29" s="34">
        <v>402</v>
      </c>
      <c r="H29" s="219"/>
      <c r="J29"/>
      <c r="K29" s="6" t="s">
        <v>44</v>
      </c>
      <c r="L29" s="38">
        <v>31600</v>
      </c>
      <c r="M29" s="38">
        <v>597307.5</v>
      </c>
      <c r="N29" s="220"/>
      <c r="O29" s="38">
        <v>140768.24</v>
      </c>
      <c r="P29" s="220"/>
    </row>
    <row r="30" spans="2:16" ht="15.75" thickBot="1" x14ac:dyDescent="0.3">
      <c r="B30"/>
      <c r="C30" s="8" t="s">
        <v>45</v>
      </c>
      <c r="D30" s="36"/>
      <c r="E30" s="36"/>
      <c r="F30" s="36"/>
      <c r="G30" s="36"/>
      <c r="H30" s="36">
        <v>117</v>
      </c>
      <c r="J30"/>
      <c r="K30" s="8" t="s">
        <v>45</v>
      </c>
      <c r="L30" s="39"/>
      <c r="M30" s="39"/>
      <c r="N30" s="39"/>
      <c r="O30" s="39"/>
      <c r="P30" s="39">
        <v>114577.92</v>
      </c>
    </row>
    <row r="31" spans="2:16" ht="15.75" thickTop="1" x14ac:dyDescent="0.25">
      <c r="B31"/>
      <c r="C31" s="35" t="s">
        <v>29</v>
      </c>
      <c r="D31" s="37">
        <f>SUM(D28:D30)</f>
        <v>158</v>
      </c>
      <c r="E31" s="37">
        <f t="shared" ref="E31:H31" si="4">SUM(E28:E30)</f>
        <v>1565</v>
      </c>
      <c r="F31" s="37">
        <f t="shared" si="4"/>
        <v>103</v>
      </c>
      <c r="G31" s="37">
        <f t="shared" si="4"/>
        <v>402</v>
      </c>
      <c r="H31" s="37">
        <f t="shared" si="4"/>
        <v>269</v>
      </c>
      <c r="J31"/>
      <c r="K31" s="35" t="s">
        <v>29</v>
      </c>
      <c r="L31" s="40">
        <f>SUM(L28:L30)</f>
        <v>31600</v>
      </c>
      <c r="M31" s="40">
        <f t="shared" ref="M31:P31" si="5">SUM(M28:M30)</f>
        <v>597307.5</v>
      </c>
      <c r="N31" s="40">
        <f t="shared" si="5"/>
        <v>90522.14</v>
      </c>
      <c r="O31" s="40">
        <f t="shared" si="5"/>
        <v>140768.24</v>
      </c>
      <c r="P31" s="40">
        <f t="shared" si="5"/>
        <v>243104.26</v>
      </c>
    </row>
    <row r="32" spans="2:16" ht="15" x14ac:dyDescent="0.25">
      <c r="B32"/>
      <c r="C32"/>
      <c r="D32"/>
      <c r="E32"/>
      <c r="F32"/>
      <c r="G32"/>
      <c r="H32"/>
      <c r="J32"/>
      <c r="K32"/>
      <c r="L32"/>
      <c r="M32"/>
    </row>
    <row r="33" spans="2:16" x14ac:dyDescent="0.2">
      <c r="C33" s="30"/>
      <c r="D33" s="26" t="s">
        <v>49</v>
      </c>
      <c r="E33" s="26"/>
      <c r="F33" s="26"/>
      <c r="G33" s="26"/>
      <c r="H33" s="26"/>
      <c r="K33" s="30"/>
      <c r="L33" s="26" t="s">
        <v>70</v>
      </c>
      <c r="M33" s="26"/>
      <c r="N33" s="26"/>
      <c r="O33" s="26"/>
      <c r="P33" s="26"/>
    </row>
    <row r="34" spans="2:16" x14ac:dyDescent="0.2">
      <c r="B34" s="26" t="s">
        <v>272</v>
      </c>
      <c r="C34" s="31" t="s">
        <v>42</v>
      </c>
      <c r="D34" s="33" t="s">
        <v>50</v>
      </c>
      <c r="E34" s="33" t="s">
        <v>51</v>
      </c>
      <c r="F34" s="33" t="s">
        <v>52</v>
      </c>
      <c r="G34" s="31" t="s">
        <v>40</v>
      </c>
      <c r="H34" s="31" t="s">
        <v>41</v>
      </c>
      <c r="J34" s="26" t="str">
        <f>B34</f>
        <v>OCT'22</v>
      </c>
      <c r="K34" s="31" t="s">
        <v>42</v>
      </c>
      <c r="L34" s="33" t="s">
        <v>50</v>
      </c>
      <c r="M34" s="33" t="s">
        <v>51</v>
      </c>
      <c r="N34" s="33" t="s">
        <v>52</v>
      </c>
      <c r="O34" s="31" t="s">
        <v>40</v>
      </c>
      <c r="P34" s="31" t="s">
        <v>41</v>
      </c>
    </row>
    <row r="35" spans="2:16" ht="15" x14ac:dyDescent="0.25">
      <c r="B35"/>
      <c r="C35" s="6" t="s">
        <v>43</v>
      </c>
      <c r="D35" s="219"/>
      <c r="E35" s="219"/>
      <c r="F35" s="34">
        <v>113</v>
      </c>
      <c r="G35" s="219"/>
      <c r="H35" s="34">
        <v>180</v>
      </c>
      <c r="J35"/>
      <c r="K35" s="6" t="s">
        <v>43</v>
      </c>
      <c r="L35" s="220"/>
      <c r="M35" s="220"/>
      <c r="N35" s="38">
        <v>82740</v>
      </c>
      <c r="O35" s="220"/>
      <c r="P35" s="38">
        <v>173230.56</v>
      </c>
    </row>
    <row r="36" spans="2:16" ht="15" x14ac:dyDescent="0.25">
      <c r="B36"/>
      <c r="C36" s="6" t="s">
        <v>44</v>
      </c>
      <c r="D36" s="34">
        <v>235</v>
      </c>
      <c r="E36" s="34">
        <v>1679</v>
      </c>
      <c r="F36" s="219"/>
      <c r="G36" s="34">
        <v>482</v>
      </c>
      <c r="H36" s="219"/>
      <c r="J36"/>
      <c r="K36" s="6" t="s">
        <v>44</v>
      </c>
      <c r="L36" s="38">
        <v>48875</v>
      </c>
      <c r="M36" s="38">
        <v>653275</v>
      </c>
      <c r="N36" s="220"/>
      <c r="O36" s="38">
        <v>170886.96</v>
      </c>
      <c r="P36" s="220"/>
    </row>
    <row r="37" spans="2:16" ht="15.75" thickBot="1" x14ac:dyDescent="0.3">
      <c r="B37"/>
      <c r="C37" s="8" t="s">
        <v>45</v>
      </c>
      <c r="D37" s="36"/>
      <c r="E37" s="36"/>
      <c r="F37" s="36"/>
      <c r="G37" s="36"/>
      <c r="H37" s="36">
        <v>97</v>
      </c>
      <c r="J37"/>
      <c r="K37" s="8" t="s">
        <v>45</v>
      </c>
      <c r="L37" s="39"/>
      <c r="M37" s="39"/>
      <c r="N37" s="39"/>
      <c r="O37" s="39"/>
      <c r="P37" s="39">
        <v>92661.92</v>
      </c>
    </row>
    <row r="38" spans="2:16" ht="15.75" thickTop="1" x14ac:dyDescent="0.25">
      <c r="B38"/>
      <c r="C38" s="35" t="s">
        <v>29</v>
      </c>
      <c r="D38" s="37">
        <f>SUM(D35:D37)</f>
        <v>235</v>
      </c>
      <c r="E38" s="37">
        <f t="shared" ref="E38:H38" si="6">SUM(E35:E37)</f>
        <v>1679</v>
      </c>
      <c r="F38" s="37">
        <f t="shared" si="6"/>
        <v>113</v>
      </c>
      <c r="G38" s="37">
        <f t="shared" si="6"/>
        <v>482</v>
      </c>
      <c r="H38" s="37">
        <f t="shared" si="6"/>
        <v>277</v>
      </c>
      <c r="J38"/>
      <c r="K38" s="35" t="s">
        <v>29</v>
      </c>
      <c r="L38" s="40">
        <f>SUM(L35:L37)</f>
        <v>48875</v>
      </c>
      <c r="M38" s="40">
        <f t="shared" ref="M38:P38" si="7">SUM(M35:M37)</f>
        <v>653275</v>
      </c>
      <c r="N38" s="40">
        <f t="shared" si="7"/>
        <v>82740</v>
      </c>
      <c r="O38" s="40">
        <f t="shared" si="7"/>
        <v>170886.96</v>
      </c>
      <c r="P38" s="40">
        <f t="shared" si="7"/>
        <v>265892.47999999998</v>
      </c>
    </row>
    <row r="39" spans="2:16" ht="15" x14ac:dyDescent="0.25">
      <c r="B39"/>
      <c r="C39"/>
      <c r="D39"/>
      <c r="E39"/>
      <c r="F39"/>
      <c r="G39"/>
      <c r="H39"/>
      <c r="J39"/>
      <c r="K39"/>
      <c r="L39"/>
      <c r="M39"/>
    </row>
    <row r="40" spans="2:16" x14ac:dyDescent="0.2">
      <c r="C40" s="30"/>
      <c r="D40" s="26" t="s">
        <v>49</v>
      </c>
      <c r="E40" s="26"/>
      <c r="F40" s="26"/>
      <c r="G40" s="26"/>
      <c r="H40" s="26"/>
      <c r="K40" s="30"/>
      <c r="L40" s="26" t="s">
        <v>70</v>
      </c>
      <c r="M40" s="26"/>
      <c r="N40" s="26"/>
      <c r="O40" s="26"/>
      <c r="P40" s="26"/>
    </row>
    <row r="41" spans="2:16" x14ac:dyDescent="0.2">
      <c r="B41" s="26" t="s">
        <v>273</v>
      </c>
      <c r="C41" s="31" t="s">
        <v>42</v>
      </c>
      <c r="D41" s="33" t="s">
        <v>50</v>
      </c>
      <c r="E41" s="33" t="s">
        <v>51</v>
      </c>
      <c r="F41" s="33" t="s">
        <v>52</v>
      </c>
      <c r="G41" s="31" t="s">
        <v>40</v>
      </c>
      <c r="H41" s="31" t="s">
        <v>41</v>
      </c>
      <c r="J41" s="26" t="str">
        <f>B41</f>
        <v>NOV'22</v>
      </c>
      <c r="K41" s="31" t="s">
        <v>42</v>
      </c>
      <c r="L41" s="33" t="s">
        <v>50</v>
      </c>
      <c r="M41" s="33" t="s">
        <v>51</v>
      </c>
      <c r="N41" s="33" t="s">
        <v>52</v>
      </c>
      <c r="O41" s="31" t="s">
        <v>40</v>
      </c>
      <c r="P41" s="31" t="s">
        <v>41</v>
      </c>
    </row>
    <row r="42" spans="2:16" ht="15" x14ac:dyDescent="0.25">
      <c r="B42"/>
      <c r="C42" s="6" t="s">
        <v>43</v>
      </c>
      <c r="D42" s="219"/>
      <c r="E42" s="219"/>
      <c r="F42" s="34">
        <v>132</v>
      </c>
      <c r="G42" s="219"/>
      <c r="H42" s="34">
        <v>160</v>
      </c>
      <c r="J42"/>
      <c r="K42" s="6" t="s">
        <v>43</v>
      </c>
      <c r="L42" s="220"/>
      <c r="M42" s="220"/>
      <c r="N42" s="38">
        <v>68044.28</v>
      </c>
      <c r="O42" s="220"/>
      <c r="P42" s="38">
        <v>147842.51</v>
      </c>
    </row>
    <row r="43" spans="2:16" ht="15" x14ac:dyDescent="0.25">
      <c r="B43"/>
      <c r="C43" s="6" t="s">
        <v>44</v>
      </c>
      <c r="D43" s="34">
        <v>269</v>
      </c>
      <c r="E43" s="34">
        <v>1718</v>
      </c>
      <c r="F43" s="219"/>
      <c r="G43" s="34">
        <v>500</v>
      </c>
      <c r="H43" s="219"/>
      <c r="J43"/>
      <c r="K43" s="6" t="s">
        <v>44</v>
      </c>
      <c r="L43" s="38">
        <v>58085</v>
      </c>
      <c r="M43" s="38">
        <v>735616.5</v>
      </c>
      <c r="N43" s="220"/>
      <c r="O43" s="38">
        <v>180716.92</v>
      </c>
      <c r="P43" s="220"/>
    </row>
    <row r="44" spans="2:16" ht="15.75" thickBot="1" x14ac:dyDescent="0.3">
      <c r="B44"/>
      <c r="C44" s="8" t="s">
        <v>45</v>
      </c>
      <c r="D44" s="36"/>
      <c r="E44" s="36"/>
      <c r="F44" s="36"/>
      <c r="G44" s="36"/>
      <c r="H44" s="36">
        <v>67</v>
      </c>
      <c r="J44"/>
      <c r="K44" s="8" t="s">
        <v>45</v>
      </c>
      <c r="L44" s="39"/>
      <c r="M44" s="39"/>
      <c r="N44" s="39"/>
      <c r="O44" s="39"/>
      <c r="P44" s="39">
        <v>59507.040000000001</v>
      </c>
    </row>
    <row r="45" spans="2:16" ht="15.75" thickTop="1" x14ac:dyDescent="0.25">
      <c r="B45"/>
      <c r="C45" s="35" t="s">
        <v>29</v>
      </c>
      <c r="D45" s="37">
        <f>SUM(D42:D44)</f>
        <v>269</v>
      </c>
      <c r="E45" s="37">
        <f t="shared" ref="E45:H45" si="8">SUM(E42:E44)</f>
        <v>1718</v>
      </c>
      <c r="F45" s="37">
        <f t="shared" si="8"/>
        <v>132</v>
      </c>
      <c r="G45" s="37">
        <f t="shared" si="8"/>
        <v>500</v>
      </c>
      <c r="H45" s="37">
        <f t="shared" si="8"/>
        <v>227</v>
      </c>
      <c r="J45"/>
      <c r="K45" s="35" t="s">
        <v>29</v>
      </c>
      <c r="L45" s="40">
        <f>SUM(L42:L44)</f>
        <v>58085</v>
      </c>
      <c r="M45" s="40">
        <f t="shared" ref="M45:P45" si="9">SUM(M42:M44)</f>
        <v>735616.5</v>
      </c>
      <c r="N45" s="40">
        <f t="shared" si="9"/>
        <v>68044.28</v>
      </c>
      <c r="O45" s="40">
        <f t="shared" si="9"/>
        <v>180716.92</v>
      </c>
      <c r="P45" s="40">
        <f t="shared" si="9"/>
        <v>207349.55000000002</v>
      </c>
    </row>
    <row r="46" spans="2:16" ht="15" x14ac:dyDescent="0.25">
      <c r="B46"/>
      <c r="C46"/>
      <c r="D46"/>
      <c r="E46"/>
      <c r="F46"/>
      <c r="G46"/>
      <c r="H46"/>
      <c r="J46"/>
      <c r="K46"/>
      <c r="L46"/>
      <c r="M46"/>
    </row>
    <row r="47" spans="2:16" x14ac:dyDescent="0.2">
      <c r="C47" s="30"/>
      <c r="D47" s="26" t="s">
        <v>49</v>
      </c>
      <c r="E47" s="26"/>
      <c r="F47" s="26"/>
      <c r="G47" s="26"/>
      <c r="H47" s="26"/>
      <c r="K47" s="30"/>
      <c r="L47" s="26" t="s">
        <v>70</v>
      </c>
      <c r="M47" s="26"/>
      <c r="N47" s="26"/>
      <c r="O47" s="26"/>
      <c r="P47" s="26"/>
    </row>
    <row r="48" spans="2:16" x14ac:dyDescent="0.2">
      <c r="B48" s="26" t="s">
        <v>274</v>
      </c>
      <c r="C48" s="31" t="s">
        <v>42</v>
      </c>
      <c r="D48" s="33" t="s">
        <v>50</v>
      </c>
      <c r="E48" s="33" t="s">
        <v>51</v>
      </c>
      <c r="F48" s="33" t="s">
        <v>52</v>
      </c>
      <c r="G48" s="31" t="s">
        <v>40</v>
      </c>
      <c r="H48" s="31" t="s">
        <v>41</v>
      </c>
      <c r="J48" s="26" t="str">
        <f>B48</f>
        <v>DEC'22</v>
      </c>
      <c r="K48" s="31" t="s">
        <v>42</v>
      </c>
      <c r="L48" s="33" t="s">
        <v>50</v>
      </c>
      <c r="M48" s="33" t="s">
        <v>51</v>
      </c>
      <c r="N48" s="33" t="s">
        <v>52</v>
      </c>
      <c r="O48" s="31" t="s">
        <v>40</v>
      </c>
      <c r="P48" s="31" t="s">
        <v>41</v>
      </c>
    </row>
    <row r="49" spans="2:16" ht="15" x14ac:dyDescent="0.25">
      <c r="B49"/>
      <c r="C49" s="6" t="s">
        <v>43</v>
      </c>
      <c r="D49" s="219"/>
      <c r="E49" s="219"/>
      <c r="F49" s="34">
        <v>114</v>
      </c>
      <c r="G49" s="219"/>
      <c r="H49" s="34">
        <v>183</v>
      </c>
      <c r="J49"/>
      <c r="K49" s="6" t="s">
        <v>43</v>
      </c>
      <c r="L49" s="220"/>
      <c r="M49" s="220"/>
      <c r="N49" s="38">
        <v>62550</v>
      </c>
      <c r="O49" s="220"/>
      <c r="P49" s="38">
        <v>163503.87</v>
      </c>
    </row>
    <row r="50" spans="2:16" ht="15" x14ac:dyDescent="0.25">
      <c r="B50"/>
      <c r="C50" s="6" t="s">
        <v>44</v>
      </c>
      <c r="D50" s="34">
        <v>146</v>
      </c>
      <c r="E50" s="34">
        <v>1509</v>
      </c>
      <c r="F50" s="219"/>
      <c r="G50" s="34">
        <v>448</v>
      </c>
      <c r="H50" s="219"/>
      <c r="J50"/>
      <c r="K50" s="6" t="s">
        <v>44</v>
      </c>
      <c r="L50" s="38">
        <v>35350</v>
      </c>
      <c r="M50" s="38">
        <v>722792</v>
      </c>
      <c r="N50" s="220"/>
      <c r="O50" s="38">
        <v>156727.6</v>
      </c>
      <c r="P50" s="220"/>
    </row>
    <row r="51" spans="2:16" ht="15.75" thickBot="1" x14ac:dyDescent="0.3">
      <c r="B51"/>
      <c r="C51" s="8" t="s">
        <v>45</v>
      </c>
      <c r="D51" s="36"/>
      <c r="E51" s="36"/>
      <c r="F51" s="36"/>
      <c r="G51" s="36"/>
      <c r="H51" s="36">
        <v>24</v>
      </c>
      <c r="J51"/>
      <c r="K51" s="8" t="s">
        <v>45</v>
      </c>
      <c r="L51" s="39"/>
      <c r="M51" s="39"/>
      <c r="N51" s="39"/>
      <c r="O51" s="39"/>
      <c r="P51" s="39">
        <v>22560</v>
      </c>
    </row>
    <row r="52" spans="2:16" ht="15.75" thickTop="1" x14ac:dyDescent="0.25">
      <c r="B52"/>
      <c r="C52" s="35" t="s">
        <v>29</v>
      </c>
      <c r="D52" s="37">
        <f>SUM(D49:D51)</f>
        <v>146</v>
      </c>
      <c r="E52" s="37">
        <f t="shared" ref="E52:H52" si="10">SUM(E49:E51)</f>
        <v>1509</v>
      </c>
      <c r="F52" s="37">
        <f t="shared" si="10"/>
        <v>114</v>
      </c>
      <c r="G52" s="37">
        <f t="shared" si="10"/>
        <v>448</v>
      </c>
      <c r="H52" s="37">
        <f t="shared" si="10"/>
        <v>207</v>
      </c>
      <c r="J52"/>
      <c r="K52" s="35" t="s">
        <v>29</v>
      </c>
      <c r="L52" s="40">
        <f>SUM(L49:L51)</f>
        <v>35350</v>
      </c>
      <c r="M52" s="40">
        <f t="shared" ref="M52:P52" si="11">SUM(M49:M51)</f>
        <v>722792</v>
      </c>
      <c r="N52" s="40">
        <f t="shared" si="11"/>
        <v>62550</v>
      </c>
      <c r="O52" s="40">
        <f t="shared" si="11"/>
        <v>156727.6</v>
      </c>
      <c r="P52" s="40">
        <f t="shared" si="11"/>
        <v>186063.87</v>
      </c>
    </row>
    <row r="53" spans="2:16" ht="15" x14ac:dyDescent="0.25">
      <c r="B53"/>
      <c r="C53" s="87"/>
      <c r="D53" s="88"/>
      <c r="E53" s="88"/>
      <c r="F53" s="88"/>
      <c r="G53" s="88"/>
      <c r="H53" s="88"/>
      <c r="J53"/>
      <c r="K53" s="87"/>
      <c r="L53" s="89"/>
      <c r="M53" s="89"/>
      <c r="N53" s="89"/>
      <c r="O53" s="89"/>
      <c r="P53" s="89"/>
    </row>
    <row r="54" spans="2:16" x14ac:dyDescent="0.2">
      <c r="C54" s="30"/>
      <c r="D54" s="26" t="s">
        <v>49</v>
      </c>
      <c r="E54" s="26"/>
      <c r="F54" s="26"/>
      <c r="G54" s="26"/>
      <c r="H54" s="26"/>
      <c r="K54" s="30"/>
      <c r="L54" s="26" t="s">
        <v>70</v>
      </c>
      <c r="M54" s="26"/>
      <c r="N54" s="26"/>
      <c r="O54" s="26"/>
      <c r="P54" s="26"/>
    </row>
    <row r="55" spans="2:16" x14ac:dyDescent="0.2">
      <c r="B55" s="26" t="s">
        <v>263</v>
      </c>
      <c r="C55" s="31" t="s">
        <v>42</v>
      </c>
      <c r="D55" s="33" t="s">
        <v>50</v>
      </c>
      <c r="E55" s="33" t="s">
        <v>51</v>
      </c>
      <c r="F55" s="33" t="s">
        <v>52</v>
      </c>
      <c r="G55" s="31" t="s">
        <v>40</v>
      </c>
      <c r="H55" s="31" t="s">
        <v>41</v>
      </c>
      <c r="J55" s="26" t="str">
        <f>B55</f>
        <v>JAN'23</v>
      </c>
      <c r="K55" s="31" t="s">
        <v>42</v>
      </c>
      <c r="L55" s="33" t="s">
        <v>50</v>
      </c>
      <c r="M55" s="33" t="s">
        <v>51</v>
      </c>
      <c r="N55" s="33" t="s">
        <v>52</v>
      </c>
      <c r="O55" s="31" t="s">
        <v>40</v>
      </c>
      <c r="P55" s="31" t="s">
        <v>41</v>
      </c>
    </row>
    <row r="56" spans="2:16" ht="15" x14ac:dyDescent="0.25">
      <c r="B56"/>
      <c r="C56" s="6" t="s">
        <v>43</v>
      </c>
      <c r="D56" s="219"/>
      <c r="E56" s="219"/>
      <c r="F56" s="34">
        <v>12</v>
      </c>
      <c r="G56" s="219"/>
      <c r="H56" s="34">
        <v>235</v>
      </c>
      <c r="J56"/>
      <c r="K56" s="6" t="s">
        <v>43</v>
      </c>
      <c r="L56" s="220"/>
      <c r="M56" s="220"/>
      <c r="N56" s="38">
        <v>7800</v>
      </c>
      <c r="O56" s="220"/>
      <c r="P56" s="38">
        <v>218227.28</v>
      </c>
    </row>
    <row r="57" spans="2:16" ht="15" x14ac:dyDescent="0.25">
      <c r="B57"/>
      <c r="C57" s="6" t="s">
        <v>44</v>
      </c>
      <c r="D57" s="34">
        <v>214</v>
      </c>
      <c r="E57" s="34">
        <v>1409</v>
      </c>
      <c r="F57" s="219"/>
      <c r="G57" s="34">
        <v>568</v>
      </c>
      <c r="H57" s="219"/>
      <c r="J57"/>
      <c r="K57" s="6" t="s">
        <v>44</v>
      </c>
      <c r="L57" s="38">
        <v>30065</v>
      </c>
      <c r="M57" s="38">
        <v>560419</v>
      </c>
      <c r="N57" s="220"/>
      <c r="O57" s="38">
        <v>200636.04</v>
      </c>
      <c r="P57" s="220"/>
    </row>
    <row r="58" spans="2:16" ht="15.75" thickBot="1" x14ac:dyDescent="0.3">
      <c r="B58"/>
      <c r="C58" s="8" t="s">
        <v>45</v>
      </c>
      <c r="D58" s="36"/>
      <c r="E58" s="36"/>
      <c r="F58" s="36"/>
      <c r="G58" s="36"/>
      <c r="H58" s="36">
        <v>25</v>
      </c>
      <c r="J58"/>
      <c r="K58" s="8" t="s">
        <v>45</v>
      </c>
      <c r="L58" s="39"/>
      <c r="M58" s="39"/>
      <c r="N58" s="39"/>
      <c r="O58" s="39"/>
      <c r="P58" s="39">
        <v>23148.639999999999</v>
      </c>
    </row>
    <row r="59" spans="2:16" ht="15.75" thickTop="1" x14ac:dyDescent="0.25">
      <c r="B59"/>
      <c r="C59" s="35" t="s">
        <v>29</v>
      </c>
      <c r="D59" s="37">
        <f>SUM(D56:D58)</f>
        <v>214</v>
      </c>
      <c r="E59" s="37">
        <f t="shared" ref="E59:H59" si="12">SUM(E56:E58)</f>
        <v>1409</v>
      </c>
      <c r="F59" s="37">
        <f t="shared" si="12"/>
        <v>12</v>
      </c>
      <c r="G59" s="37">
        <f t="shared" si="12"/>
        <v>568</v>
      </c>
      <c r="H59" s="37">
        <f t="shared" si="12"/>
        <v>260</v>
      </c>
      <c r="J59"/>
      <c r="K59" s="35" t="s">
        <v>29</v>
      </c>
      <c r="L59" s="40">
        <f>SUM(L56:L58)</f>
        <v>30065</v>
      </c>
      <c r="M59" s="40">
        <f t="shared" ref="M59:P59" si="13">SUM(M56:M58)</f>
        <v>560419</v>
      </c>
      <c r="N59" s="40">
        <f t="shared" si="13"/>
        <v>7800</v>
      </c>
      <c r="O59" s="40">
        <f t="shared" si="13"/>
        <v>200636.04</v>
      </c>
      <c r="P59" s="40">
        <f t="shared" si="13"/>
        <v>241375.91999999998</v>
      </c>
    </row>
    <row r="60" spans="2:16" ht="15" x14ac:dyDescent="0.25">
      <c r="B60"/>
      <c r="C60"/>
      <c r="D60"/>
      <c r="E60"/>
      <c r="F60"/>
      <c r="G60"/>
      <c r="H60"/>
      <c r="J60"/>
      <c r="K60"/>
    </row>
    <row r="61" spans="2:16" x14ac:dyDescent="0.2">
      <c r="C61" s="30"/>
      <c r="D61" s="26" t="s">
        <v>49</v>
      </c>
      <c r="E61" s="26"/>
      <c r="F61" s="26"/>
      <c r="G61" s="26"/>
      <c r="H61" s="26"/>
      <c r="K61" s="30"/>
      <c r="L61" s="26" t="s">
        <v>70</v>
      </c>
      <c r="M61" s="26"/>
      <c r="N61" s="26"/>
      <c r="O61" s="26"/>
      <c r="P61" s="26"/>
    </row>
    <row r="62" spans="2:16" x14ac:dyDescent="0.2">
      <c r="B62" s="26" t="s">
        <v>264</v>
      </c>
      <c r="C62" s="31" t="s">
        <v>42</v>
      </c>
      <c r="D62" s="33" t="s">
        <v>50</v>
      </c>
      <c r="E62" s="33" t="s">
        <v>51</v>
      </c>
      <c r="F62" s="33" t="s">
        <v>52</v>
      </c>
      <c r="G62" s="31" t="s">
        <v>40</v>
      </c>
      <c r="H62" s="31" t="s">
        <v>41</v>
      </c>
      <c r="J62" s="26" t="str">
        <f>B62</f>
        <v>FEB'23</v>
      </c>
      <c r="K62" s="31" t="s">
        <v>42</v>
      </c>
      <c r="L62" s="33" t="s">
        <v>50</v>
      </c>
      <c r="M62" s="33" t="s">
        <v>51</v>
      </c>
      <c r="N62" s="33" t="s">
        <v>52</v>
      </c>
      <c r="O62" s="31" t="s">
        <v>40</v>
      </c>
      <c r="P62" s="31" t="s">
        <v>41</v>
      </c>
    </row>
    <row r="63" spans="2:16" ht="15" x14ac:dyDescent="0.25">
      <c r="B63"/>
      <c r="C63" s="6" t="s">
        <v>43</v>
      </c>
      <c r="D63" s="219"/>
      <c r="E63" s="219"/>
      <c r="F63" s="34">
        <v>32</v>
      </c>
      <c r="G63" s="219"/>
      <c r="H63" s="34">
        <v>158</v>
      </c>
      <c r="J63"/>
      <c r="K63" s="6" t="s">
        <v>43</v>
      </c>
      <c r="L63" s="220"/>
      <c r="M63" s="220"/>
      <c r="N63" s="38">
        <v>20800</v>
      </c>
      <c r="O63" s="220"/>
      <c r="P63" s="38">
        <v>143395.48000000001</v>
      </c>
    </row>
    <row r="64" spans="2:16" ht="15" x14ac:dyDescent="0.25">
      <c r="B64"/>
      <c r="C64" s="6" t="s">
        <v>44</v>
      </c>
      <c r="D64" s="34">
        <v>161</v>
      </c>
      <c r="E64" s="34">
        <v>1377</v>
      </c>
      <c r="F64" s="219"/>
      <c r="G64" s="34">
        <v>484</v>
      </c>
      <c r="H64" s="219"/>
      <c r="J64"/>
      <c r="K64" s="6" t="s">
        <v>44</v>
      </c>
      <c r="L64" s="38">
        <v>18980</v>
      </c>
      <c r="M64" s="38">
        <v>548359.5</v>
      </c>
      <c r="N64" s="220"/>
      <c r="O64" s="38">
        <v>169830.64</v>
      </c>
      <c r="P64" s="220"/>
    </row>
    <row r="65" spans="2:16" ht="15.75" thickBot="1" x14ac:dyDescent="0.3">
      <c r="B65"/>
      <c r="C65" s="8" t="s">
        <v>45</v>
      </c>
      <c r="D65" s="36"/>
      <c r="E65" s="36"/>
      <c r="F65" s="36"/>
      <c r="G65" s="36"/>
      <c r="H65" s="36">
        <v>21</v>
      </c>
      <c r="J65"/>
      <c r="K65" s="8" t="s">
        <v>45</v>
      </c>
      <c r="L65" s="39"/>
      <c r="M65" s="39"/>
      <c r="N65" s="39"/>
      <c r="O65" s="39"/>
      <c r="P65" s="39">
        <v>19740</v>
      </c>
    </row>
    <row r="66" spans="2:16" ht="15.75" thickTop="1" x14ac:dyDescent="0.25">
      <c r="B66"/>
      <c r="C66" s="35" t="s">
        <v>29</v>
      </c>
      <c r="D66" s="37">
        <f>SUM(D63:D65)</f>
        <v>161</v>
      </c>
      <c r="E66" s="37">
        <f t="shared" ref="E66:H66" si="14">SUM(E63:E65)</f>
        <v>1377</v>
      </c>
      <c r="F66" s="37">
        <f t="shared" si="14"/>
        <v>32</v>
      </c>
      <c r="G66" s="37">
        <f t="shared" si="14"/>
        <v>484</v>
      </c>
      <c r="H66" s="37">
        <f t="shared" si="14"/>
        <v>179</v>
      </c>
      <c r="J66"/>
      <c r="K66" s="35" t="s">
        <v>29</v>
      </c>
      <c r="L66" s="40">
        <f>SUM(L63:L65)</f>
        <v>18980</v>
      </c>
      <c r="M66" s="40">
        <f t="shared" ref="M66" si="15">SUM(M63:M65)</f>
        <v>548359.5</v>
      </c>
      <c r="N66" s="40">
        <f t="shared" ref="N66" si="16">SUM(N63:N65)</f>
        <v>20800</v>
      </c>
      <c r="O66" s="40">
        <f t="shared" ref="O66" si="17">SUM(O63:O65)</f>
        <v>169830.64</v>
      </c>
      <c r="P66" s="40">
        <f t="shared" ref="P66" si="18">SUM(P63:P65)</f>
        <v>163135.48000000001</v>
      </c>
    </row>
    <row r="67" spans="2:16" ht="15" x14ac:dyDescent="0.25">
      <c r="B67"/>
      <c r="C67"/>
      <c r="D67"/>
      <c r="E67"/>
      <c r="F67"/>
      <c r="G67"/>
      <c r="H67"/>
      <c r="J67"/>
      <c r="K67"/>
    </row>
    <row r="68" spans="2:16" x14ac:dyDescent="0.2">
      <c r="C68" s="30"/>
      <c r="D68" s="26" t="s">
        <v>49</v>
      </c>
      <c r="E68" s="26"/>
      <c r="F68" s="26"/>
      <c r="G68" s="26"/>
      <c r="H68" s="26"/>
      <c r="K68" s="30"/>
      <c r="L68" s="26" t="s">
        <v>70</v>
      </c>
      <c r="M68" s="26"/>
      <c r="N68" s="26"/>
      <c r="O68" s="26"/>
      <c r="P68" s="26"/>
    </row>
    <row r="69" spans="2:16" x14ac:dyDescent="0.2">
      <c r="B69" s="26" t="s">
        <v>265</v>
      </c>
      <c r="C69" s="31" t="s">
        <v>42</v>
      </c>
      <c r="D69" s="33" t="s">
        <v>50</v>
      </c>
      <c r="E69" s="33" t="s">
        <v>51</v>
      </c>
      <c r="F69" s="33" t="s">
        <v>52</v>
      </c>
      <c r="G69" s="31" t="s">
        <v>40</v>
      </c>
      <c r="H69" s="31" t="s">
        <v>41</v>
      </c>
      <c r="J69" s="26" t="str">
        <f>B69</f>
        <v>MAR'23</v>
      </c>
      <c r="K69" s="31" t="s">
        <v>42</v>
      </c>
      <c r="L69" s="33" t="s">
        <v>50</v>
      </c>
      <c r="M69" s="33" t="s">
        <v>51</v>
      </c>
      <c r="N69" s="33" t="s">
        <v>52</v>
      </c>
      <c r="O69" s="31" t="s">
        <v>40</v>
      </c>
      <c r="P69" s="31" t="s">
        <v>41</v>
      </c>
    </row>
    <row r="70" spans="2:16" ht="12.75" customHeight="1" x14ac:dyDescent="0.25">
      <c r="B70"/>
      <c r="C70" s="6" t="s">
        <v>43</v>
      </c>
      <c r="D70" s="219"/>
      <c r="E70" s="219"/>
      <c r="F70" s="34">
        <v>23</v>
      </c>
      <c r="G70" s="219"/>
      <c r="H70" s="34">
        <v>107</v>
      </c>
      <c r="J70"/>
      <c r="K70" s="6" t="s">
        <v>43</v>
      </c>
      <c r="L70" s="220"/>
      <c r="M70" s="220"/>
      <c r="N70" s="38">
        <v>14950</v>
      </c>
      <c r="O70" s="220"/>
      <c r="P70" s="38">
        <v>100874.56</v>
      </c>
    </row>
    <row r="71" spans="2:16" ht="15" x14ac:dyDescent="0.25">
      <c r="B71"/>
      <c r="C71" s="6" t="s">
        <v>44</v>
      </c>
      <c r="D71" s="34">
        <v>148</v>
      </c>
      <c r="E71" s="34">
        <v>1708</v>
      </c>
      <c r="F71" s="219"/>
      <c r="G71" s="34">
        <v>614</v>
      </c>
      <c r="H71" s="219"/>
      <c r="J71"/>
      <c r="K71" s="6" t="s">
        <v>44</v>
      </c>
      <c r="L71" s="38">
        <v>15125</v>
      </c>
      <c r="M71" s="38">
        <v>713725</v>
      </c>
      <c r="N71" s="220"/>
      <c r="O71" s="38">
        <v>216570.92</v>
      </c>
      <c r="P71" s="220"/>
    </row>
    <row r="72" spans="2:16" ht="15.75" thickBot="1" x14ac:dyDescent="0.3">
      <c r="B72"/>
      <c r="C72" s="8" t="s">
        <v>45</v>
      </c>
      <c r="D72" s="36"/>
      <c r="E72" s="36"/>
      <c r="F72" s="36"/>
      <c r="G72" s="36"/>
      <c r="H72" s="36">
        <v>56</v>
      </c>
      <c r="J72"/>
      <c r="K72" s="8" t="s">
        <v>45</v>
      </c>
      <c r="L72" s="39"/>
      <c r="M72" s="39"/>
      <c r="N72" s="39"/>
      <c r="O72" s="39"/>
      <c r="P72" s="39">
        <v>52640</v>
      </c>
    </row>
    <row r="73" spans="2:16" ht="15.75" thickTop="1" x14ac:dyDescent="0.25">
      <c r="B73"/>
      <c r="C73" s="35" t="s">
        <v>29</v>
      </c>
      <c r="D73" s="37">
        <f>SUM(D70:D72)</f>
        <v>148</v>
      </c>
      <c r="E73" s="37">
        <f t="shared" ref="E73" si="19">SUM(E70:E72)</f>
        <v>1708</v>
      </c>
      <c r="F73" s="37">
        <f t="shared" ref="F73" si="20">SUM(F70:F72)</f>
        <v>23</v>
      </c>
      <c r="G73" s="37">
        <f t="shared" ref="G73" si="21">SUM(G70:G72)</f>
        <v>614</v>
      </c>
      <c r="H73" s="37">
        <f t="shared" ref="H73" si="22">SUM(H70:H72)</f>
        <v>163</v>
      </c>
      <c r="J73"/>
      <c r="K73" s="35" t="s">
        <v>29</v>
      </c>
      <c r="L73" s="40">
        <f>SUM(L70:L72)</f>
        <v>15125</v>
      </c>
      <c r="M73" s="40">
        <f t="shared" ref="M73" si="23">SUM(M70:M72)</f>
        <v>713725</v>
      </c>
      <c r="N73" s="40">
        <f t="shared" ref="N73" si="24">SUM(N70:N72)</f>
        <v>14950</v>
      </c>
      <c r="O73" s="40">
        <f t="shared" ref="O73" si="25">SUM(O70:O72)</f>
        <v>216570.92</v>
      </c>
      <c r="P73" s="40">
        <f t="shared" ref="P73" si="26">SUM(P70:P72)</f>
        <v>153514.56</v>
      </c>
    </row>
    <row r="74" spans="2:16" ht="15" x14ac:dyDescent="0.25">
      <c r="B74"/>
      <c r="C74"/>
      <c r="D74"/>
      <c r="E74"/>
      <c r="F74"/>
      <c r="G74"/>
      <c r="H74"/>
      <c r="J74"/>
      <c r="K74"/>
      <c r="L74"/>
      <c r="M74"/>
    </row>
    <row r="75" spans="2:16" x14ac:dyDescent="0.2">
      <c r="C75" s="30"/>
      <c r="D75" s="26" t="s">
        <v>49</v>
      </c>
      <c r="E75" s="26"/>
      <c r="F75" s="26"/>
      <c r="G75" s="26"/>
      <c r="H75" s="26"/>
      <c r="K75" s="30"/>
      <c r="L75" s="26" t="s">
        <v>70</v>
      </c>
      <c r="M75" s="26"/>
      <c r="N75" s="26"/>
      <c r="O75" s="26"/>
      <c r="P75" s="26"/>
    </row>
    <row r="76" spans="2:16" x14ac:dyDescent="0.2">
      <c r="B76" s="26" t="s">
        <v>266</v>
      </c>
      <c r="C76" s="31" t="s">
        <v>42</v>
      </c>
      <c r="D76" s="33" t="s">
        <v>50</v>
      </c>
      <c r="E76" s="33" t="s">
        <v>51</v>
      </c>
      <c r="F76" s="33" t="s">
        <v>52</v>
      </c>
      <c r="G76" s="31" t="s">
        <v>40</v>
      </c>
      <c r="H76" s="31" t="s">
        <v>41</v>
      </c>
      <c r="J76" s="26" t="str">
        <f>B76</f>
        <v>APR'23</v>
      </c>
      <c r="K76" s="31" t="s">
        <v>42</v>
      </c>
      <c r="L76" s="33" t="s">
        <v>50</v>
      </c>
      <c r="M76" s="33" t="s">
        <v>51</v>
      </c>
      <c r="N76" s="33" t="s">
        <v>52</v>
      </c>
      <c r="O76" s="31" t="s">
        <v>40</v>
      </c>
      <c r="P76" s="31" t="s">
        <v>41</v>
      </c>
    </row>
    <row r="77" spans="2:16" ht="15" x14ac:dyDescent="0.25">
      <c r="B77"/>
      <c r="C77" s="6" t="s">
        <v>43</v>
      </c>
      <c r="D77" s="219"/>
      <c r="E77" s="219"/>
      <c r="F77" s="34">
        <v>12</v>
      </c>
      <c r="G77" s="219"/>
      <c r="H77" s="34">
        <v>124</v>
      </c>
      <c r="J77"/>
      <c r="K77" s="6" t="s">
        <v>43</v>
      </c>
      <c r="L77" s="220"/>
      <c r="M77" s="220"/>
      <c r="N77" s="38">
        <v>6862.14</v>
      </c>
      <c r="O77" s="220"/>
      <c r="P77" s="38">
        <v>116431.33</v>
      </c>
    </row>
    <row r="78" spans="2:16" ht="15" x14ac:dyDescent="0.25">
      <c r="B78"/>
      <c r="C78" s="6" t="s">
        <v>44</v>
      </c>
      <c r="D78" s="34">
        <v>95</v>
      </c>
      <c r="E78" s="34">
        <v>1505</v>
      </c>
      <c r="F78" s="219"/>
      <c r="G78" s="34">
        <v>520</v>
      </c>
      <c r="H78" s="219"/>
      <c r="J78"/>
      <c r="K78" s="6" t="s">
        <v>44</v>
      </c>
      <c r="L78" s="38">
        <v>10000</v>
      </c>
      <c r="M78" s="38">
        <v>618400</v>
      </c>
      <c r="N78" s="220"/>
      <c r="O78" s="38">
        <v>175796.4</v>
      </c>
      <c r="P78" s="220"/>
    </row>
    <row r="79" spans="2:16" ht="15.75" thickBot="1" x14ac:dyDescent="0.3">
      <c r="B79"/>
      <c r="C79" s="8" t="s">
        <v>45</v>
      </c>
      <c r="D79" s="36"/>
      <c r="E79" s="36"/>
      <c r="F79" s="36"/>
      <c r="G79" s="36"/>
      <c r="H79" s="36">
        <v>39</v>
      </c>
      <c r="J79"/>
      <c r="K79" s="8" t="s">
        <v>45</v>
      </c>
      <c r="L79" s="39"/>
      <c r="M79" s="39"/>
      <c r="N79" s="39"/>
      <c r="O79" s="39"/>
      <c r="P79" s="39">
        <v>36660</v>
      </c>
    </row>
    <row r="80" spans="2:16" ht="15.75" thickTop="1" x14ac:dyDescent="0.25">
      <c r="B80"/>
      <c r="C80" s="35" t="s">
        <v>29</v>
      </c>
      <c r="D80" s="37">
        <f>SUM(D77:D79)</f>
        <v>95</v>
      </c>
      <c r="E80" s="37">
        <f t="shared" ref="E80" si="27">SUM(E77:E79)</f>
        <v>1505</v>
      </c>
      <c r="F80" s="37">
        <f t="shared" ref="F80" si="28">SUM(F77:F79)</f>
        <v>12</v>
      </c>
      <c r="G80" s="37">
        <f t="shared" ref="G80" si="29">SUM(G77:G79)</f>
        <v>520</v>
      </c>
      <c r="H80" s="37">
        <f t="shared" ref="H80" si="30">SUM(H77:H79)</f>
        <v>163</v>
      </c>
      <c r="J80"/>
      <c r="K80" s="35" t="s">
        <v>29</v>
      </c>
      <c r="L80" s="40">
        <f>SUM(L77:L79)</f>
        <v>10000</v>
      </c>
      <c r="M80" s="40">
        <f t="shared" ref="M80" si="31">SUM(M77:M79)</f>
        <v>618400</v>
      </c>
      <c r="N80" s="40">
        <f t="shared" ref="N80" si="32">SUM(N77:N79)</f>
        <v>6862.14</v>
      </c>
      <c r="O80" s="40">
        <f t="shared" ref="O80" si="33">SUM(O77:O79)</f>
        <v>175796.4</v>
      </c>
      <c r="P80" s="40">
        <f t="shared" ref="P80" si="34">SUM(P77:P79)</f>
        <v>153091.33000000002</v>
      </c>
    </row>
    <row r="81" spans="2:16" ht="15" x14ac:dyDescent="0.25">
      <c r="B81"/>
      <c r="C81"/>
      <c r="D81"/>
      <c r="E81"/>
      <c r="F81"/>
      <c r="G81"/>
      <c r="H81"/>
      <c r="J81"/>
      <c r="K81"/>
      <c r="L81"/>
      <c r="M81"/>
    </row>
    <row r="82" spans="2:16" x14ac:dyDescent="0.2">
      <c r="C82" s="30"/>
      <c r="D82" s="26" t="s">
        <v>49</v>
      </c>
      <c r="E82" s="26"/>
      <c r="F82" s="26"/>
      <c r="G82" s="26"/>
      <c r="H82" s="26"/>
      <c r="K82" s="30"/>
      <c r="L82" s="26" t="s">
        <v>70</v>
      </c>
      <c r="M82" s="26"/>
      <c r="N82" s="26"/>
      <c r="O82" s="26"/>
      <c r="P82" s="26"/>
    </row>
    <row r="83" spans="2:16" x14ac:dyDescent="0.2">
      <c r="B83" s="26" t="s">
        <v>267</v>
      </c>
      <c r="C83" s="31" t="s">
        <v>42</v>
      </c>
      <c r="D83" s="33" t="s">
        <v>50</v>
      </c>
      <c r="E83" s="33" t="s">
        <v>51</v>
      </c>
      <c r="F83" s="33" t="s">
        <v>52</v>
      </c>
      <c r="G83" s="31" t="s">
        <v>40</v>
      </c>
      <c r="H83" s="31" t="s">
        <v>41</v>
      </c>
      <c r="J83" s="26" t="str">
        <f>B83</f>
        <v>MAY'23</v>
      </c>
      <c r="K83" s="31" t="s">
        <v>42</v>
      </c>
      <c r="L83" s="33" t="s">
        <v>50</v>
      </c>
      <c r="M83" s="33" t="s">
        <v>51</v>
      </c>
      <c r="N83" s="33" t="s">
        <v>52</v>
      </c>
      <c r="O83" s="31" t="s">
        <v>40</v>
      </c>
      <c r="P83" s="31" t="s">
        <v>41</v>
      </c>
    </row>
    <row r="84" spans="2:16" ht="15" x14ac:dyDescent="0.25">
      <c r="B84"/>
      <c r="C84" s="6" t="s">
        <v>43</v>
      </c>
      <c r="D84" s="219"/>
      <c r="E84" s="219"/>
      <c r="F84" s="34">
        <v>2</v>
      </c>
      <c r="G84" s="219"/>
      <c r="H84" s="34">
        <v>99</v>
      </c>
      <c r="J84"/>
      <c r="K84" s="6" t="s">
        <v>43</v>
      </c>
      <c r="L84" s="220"/>
      <c r="M84" s="220"/>
      <c r="N84" s="38">
        <v>1300</v>
      </c>
      <c r="O84" s="220"/>
      <c r="P84" s="38">
        <v>90140.97</v>
      </c>
    </row>
    <row r="85" spans="2:16" ht="15" x14ac:dyDescent="0.25">
      <c r="B85"/>
      <c r="C85" s="6" t="s">
        <v>44</v>
      </c>
      <c r="D85" s="34">
        <v>175</v>
      </c>
      <c r="E85" s="34">
        <v>1351</v>
      </c>
      <c r="F85" s="219"/>
      <c r="G85" s="34">
        <v>631</v>
      </c>
      <c r="H85" s="219"/>
      <c r="J85"/>
      <c r="K85" s="6" t="s">
        <v>44</v>
      </c>
      <c r="L85" s="38">
        <v>22835</v>
      </c>
      <c r="M85" s="38">
        <v>546168.5</v>
      </c>
      <c r="N85" s="220"/>
      <c r="O85" s="38">
        <v>216989</v>
      </c>
      <c r="P85" s="220"/>
    </row>
    <row r="86" spans="2:16" ht="15.75" thickBot="1" x14ac:dyDescent="0.3">
      <c r="B86"/>
      <c r="C86" s="8" t="s">
        <v>45</v>
      </c>
      <c r="D86" s="36"/>
      <c r="E86" s="36"/>
      <c r="F86" s="36"/>
      <c r="G86" s="36"/>
      <c r="H86" s="36">
        <v>44</v>
      </c>
      <c r="J86"/>
      <c r="K86" s="8" t="s">
        <v>45</v>
      </c>
      <c r="L86" s="39"/>
      <c r="M86" s="39"/>
      <c r="N86" s="39"/>
      <c r="O86" s="39"/>
      <c r="P86" s="39">
        <v>41360</v>
      </c>
    </row>
    <row r="87" spans="2:16" ht="15.75" thickTop="1" x14ac:dyDescent="0.25">
      <c r="B87"/>
      <c r="C87" s="35" t="s">
        <v>29</v>
      </c>
      <c r="D87" s="37">
        <f>SUM(D84:D86)</f>
        <v>175</v>
      </c>
      <c r="E87" s="37">
        <f t="shared" ref="E87" si="35">SUM(E84:E86)</f>
        <v>1351</v>
      </c>
      <c r="F87" s="37">
        <f t="shared" ref="F87" si="36">SUM(F84:F86)</f>
        <v>2</v>
      </c>
      <c r="G87" s="37">
        <f t="shared" ref="G87" si="37">SUM(G84:G86)</f>
        <v>631</v>
      </c>
      <c r="H87" s="37">
        <f t="shared" ref="H87" si="38">SUM(H84:H86)</f>
        <v>143</v>
      </c>
      <c r="J87"/>
      <c r="K87" s="35" t="s">
        <v>29</v>
      </c>
      <c r="L87" s="40">
        <f>SUM(L84:L86)</f>
        <v>22835</v>
      </c>
      <c r="M87" s="40">
        <f t="shared" ref="M87" si="39">SUM(M84:M86)</f>
        <v>546168.5</v>
      </c>
      <c r="N87" s="40">
        <f t="shared" ref="N87" si="40">SUM(N84:N86)</f>
        <v>1300</v>
      </c>
      <c r="O87" s="40">
        <f t="shared" ref="O87" si="41">SUM(O84:O86)</f>
        <v>216989</v>
      </c>
      <c r="P87" s="40">
        <f t="shared" ref="P87" si="42">SUM(P84:P86)</f>
        <v>131500.97</v>
      </c>
    </row>
    <row r="88" spans="2:16" ht="15" x14ac:dyDescent="0.25">
      <c r="B88"/>
      <c r="C88"/>
      <c r="D88"/>
      <c r="E88"/>
      <c r="F88"/>
      <c r="G88"/>
      <c r="H88"/>
      <c r="J88"/>
      <c r="K88"/>
      <c r="L88"/>
      <c r="M88"/>
    </row>
    <row r="89" spans="2:16" x14ac:dyDescent="0.2">
      <c r="C89" s="30"/>
      <c r="D89" s="26" t="s">
        <v>49</v>
      </c>
      <c r="E89" s="26"/>
      <c r="F89" s="26"/>
      <c r="G89" s="26"/>
      <c r="H89" s="26"/>
      <c r="K89" s="30"/>
      <c r="L89" s="26" t="s">
        <v>70</v>
      </c>
      <c r="M89" s="26"/>
      <c r="N89" s="26"/>
      <c r="O89" s="26"/>
      <c r="P89" s="26"/>
    </row>
    <row r="90" spans="2:16" x14ac:dyDescent="0.2">
      <c r="B90" s="26" t="s">
        <v>268</v>
      </c>
      <c r="C90" s="31" t="s">
        <v>42</v>
      </c>
      <c r="D90" s="33" t="s">
        <v>50</v>
      </c>
      <c r="E90" s="33" t="s">
        <v>51</v>
      </c>
      <c r="F90" s="33" t="s">
        <v>52</v>
      </c>
      <c r="G90" s="31" t="s">
        <v>40</v>
      </c>
      <c r="H90" s="31" t="s">
        <v>41</v>
      </c>
      <c r="J90" s="26" t="str">
        <f>B90</f>
        <v>JUN'23</v>
      </c>
      <c r="K90" s="31" t="s">
        <v>42</v>
      </c>
      <c r="L90" s="33" t="s">
        <v>50</v>
      </c>
      <c r="M90" s="33" t="s">
        <v>51</v>
      </c>
      <c r="N90" s="33" t="s">
        <v>52</v>
      </c>
      <c r="O90" s="31" t="s">
        <v>40</v>
      </c>
      <c r="P90" s="31" t="s">
        <v>41</v>
      </c>
    </row>
    <row r="91" spans="2:16" ht="15" x14ac:dyDescent="0.25">
      <c r="B91"/>
      <c r="C91" s="6" t="s">
        <v>43</v>
      </c>
      <c r="D91" s="219"/>
      <c r="E91" s="219"/>
      <c r="F91" s="34">
        <v>4</v>
      </c>
      <c r="G91" s="219"/>
      <c r="H91" s="34">
        <v>101</v>
      </c>
      <c r="J91"/>
      <c r="K91" s="6" t="s">
        <v>43</v>
      </c>
      <c r="L91" s="220"/>
      <c r="M91" s="220"/>
      <c r="N91" s="38">
        <v>2064.08</v>
      </c>
      <c r="O91" s="220"/>
      <c r="P91" s="38">
        <v>94946.46</v>
      </c>
    </row>
    <row r="92" spans="2:16" ht="15" x14ac:dyDescent="0.25">
      <c r="B92"/>
      <c r="C92" s="6" t="s">
        <v>44</v>
      </c>
      <c r="D92" s="34">
        <v>250</v>
      </c>
      <c r="E92" s="34">
        <v>1338</v>
      </c>
      <c r="F92" s="219"/>
      <c r="G92" s="34">
        <v>703</v>
      </c>
      <c r="H92" s="219"/>
      <c r="J92"/>
      <c r="K92" s="6" t="s">
        <v>44</v>
      </c>
      <c r="L92" s="38">
        <v>27935</v>
      </c>
      <c r="M92" s="38">
        <v>539441</v>
      </c>
      <c r="N92" s="220"/>
      <c r="O92" s="38">
        <v>245376.8</v>
      </c>
      <c r="P92" s="220"/>
    </row>
    <row r="93" spans="2:16" ht="15.75" thickBot="1" x14ac:dyDescent="0.3">
      <c r="B93"/>
      <c r="C93" s="8" t="s">
        <v>45</v>
      </c>
      <c r="D93" s="36"/>
      <c r="E93" s="36"/>
      <c r="F93" s="36"/>
      <c r="G93" s="36"/>
      <c r="H93" s="36">
        <v>63</v>
      </c>
      <c r="J93"/>
      <c r="K93" s="8" t="s">
        <v>45</v>
      </c>
      <c r="L93" s="39"/>
      <c r="M93" s="39"/>
      <c r="N93" s="39"/>
      <c r="O93" s="39"/>
      <c r="P93" s="39">
        <v>55895.88</v>
      </c>
    </row>
    <row r="94" spans="2:16" ht="15.75" thickTop="1" x14ac:dyDescent="0.25">
      <c r="B94"/>
      <c r="C94" s="35" t="s">
        <v>29</v>
      </c>
      <c r="D94" s="37">
        <f>SUM(D91:D93)</f>
        <v>250</v>
      </c>
      <c r="E94" s="37">
        <f t="shared" ref="E94" si="43">SUM(E91:E93)</f>
        <v>1338</v>
      </c>
      <c r="F94" s="37">
        <f t="shared" ref="F94" si="44">SUM(F91:F93)</f>
        <v>4</v>
      </c>
      <c r="G94" s="37">
        <f t="shared" ref="G94" si="45">SUM(G91:G93)</f>
        <v>703</v>
      </c>
      <c r="H94" s="37">
        <f t="shared" ref="H94" si="46">SUM(H91:H93)</f>
        <v>164</v>
      </c>
      <c r="J94"/>
      <c r="K94" s="35" t="s">
        <v>29</v>
      </c>
      <c r="L94" s="40">
        <f>SUM(L91:L93)</f>
        <v>27935</v>
      </c>
      <c r="M94" s="40">
        <f t="shared" ref="M94" si="47">SUM(M91:M93)</f>
        <v>539441</v>
      </c>
      <c r="N94" s="40">
        <f t="shared" ref="N94" si="48">SUM(N91:N93)</f>
        <v>2064.08</v>
      </c>
      <c r="O94" s="40">
        <f t="shared" ref="O94" si="49">SUM(O91:O93)</f>
        <v>245376.8</v>
      </c>
      <c r="P94" s="40">
        <f t="shared" ref="P94" si="50">SUM(P91:P93)</f>
        <v>150842.34</v>
      </c>
    </row>
    <row r="95" spans="2:16" ht="15" x14ac:dyDescent="0.25">
      <c r="B95"/>
      <c r="C95"/>
      <c r="D95"/>
      <c r="E95"/>
      <c r="F95"/>
      <c r="G95"/>
      <c r="H95"/>
      <c r="J95"/>
      <c r="K95"/>
      <c r="L95"/>
      <c r="M95"/>
    </row>
    <row r="96" spans="2:16" ht="15" x14ac:dyDescent="0.25">
      <c r="C96" s="222" t="s">
        <v>283</v>
      </c>
      <c r="D96" s="223">
        <f>D94+D87+D80+D73+D66+D59+D52+D45+D38+D31+D24+D17</f>
        <v>1959</v>
      </c>
      <c r="E96" s="223">
        <f t="shared" ref="E96:G96" si="51">E94+E87+E80+E73+E66+E59+E52+E45+E38+E31+E24+E17</f>
        <v>18502</v>
      </c>
      <c r="F96" s="223">
        <f t="shared" si="51"/>
        <v>948</v>
      </c>
      <c r="G96" s="223">
        <f t="shared" si="51"/>
        <v>6237</v>
      </c>
      <c r="H96" s="223">
        <f>H94+H87+H80+H73+H66+H59+H52+H45+H38+H31+H24+H17</f>
        <v>2659</v>
      </c>
      <c r="J96"/>
      <c r="K96" s="222" t="s">
        <v>283</v>
      </c>
      <c r="L96" s="224">
        <f>L94+L87+L80+L73+L66+L59+L52+L45+L38+L31+L24+L17</f>
        <v>313150</v>
      </c>
      <c r="M96" s="224">
        <f t="shared" ref="M96:O96" si="52">M94+M87+M80+M73+M66+M59+M52+M45+M38+M31+M24+M17</f>
        <v>7415491.5</v>
      </c>
      <c r="N96" s="224">
        <f t="shared" si="52"/>
        <v>722097.74</v>
      </c>
      <c r="O96" s="224">
        <f t="shared" si="52"/>
        <v>2189229.16</v>
      </c>
      <c r="P96" s="224">
        <f>P94+P87+P80+P73+P66+P59+P52+P45+P38+P31+P24+P17</f>
        <v>2451670.0299999998</v>
      </c>
    </row>
    <row r="97" spans="4:16" x14ac:dyDescent="0.2">
      <c r="D97" s="221"/>
      <c r="E97" s="221"/>
      <c r="F97" s="221"/>
      <c r="G97" s="221"/>
      <c r="H97" s="221"/>
      <c r="L97" s="221"/>
      <c r="M97" s="221"/>
      <c r="N97" s="221"/>
      <c r="O97" s="221"/>
      <c r="P97" s="221"/>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showGridLines="0" zoomScaleNormal="100" zoomScaleSheetLayoutView="70" workbookViewId="0">
      <selection activeCell="D9" sqref="D9"/>
    </sheetView>
  </sheetViews>
  <sheetFormatPr defaultColWidth="8.7109375" defaultRowHeight="12.75" x14ac:dyDescent="0.2"/>
  <cols>
    <col min="1" max="1" width="2.28515625" style="5" customWidth="1"/>
    <col min="2" max="2" width="12.5703125" style="5" customWidth="1"/>
    <col min="3" max="3" width="21.28515625" style="5" customWidth="1"/>
    <col min="4" max="4" width="13.7109375" style="5" customWidth="1"/>
    <col min="5" max="5" width="12.28515625" style="5" customWidth="1"/>
    <col min="6" max="6" width="10.42578125" style="5" customWidth="1"/>
    <col min="7" max="7" width="13.28515625" style="5" customWidth="1"/>
    <col min="8" max="8" width="11.28515625" style="5" customWidth="1"/>
    <col min="9" max="9" width="14.5703125" style="5" bestFit="1" customWidth="1"/>
    <col min="10" max="10" width="11" style="5" bestFit="1" customWidth="1"/>
    <col min="11" max="11" width="2.28515625" style="5" customWidth="1"/>
    <col min="12" max="12" width="18.28515625" style="5" bestFit="1" customWidth="1"/>
    <col min="13" max="18" width="14.7109375" style="5" customWidth="1"/>
    <col min="19" max="19" width="2.28515625" style="5" customWidth="1"/>
    <col min="20" max="20" width="11" style="5" bestFit="1" customWidth="1"/>
    <col min="21" max="21" width="18.28515625" style="5" bestFit="1" customWidth="1"/>
    <col min="22" max="27" width="13" style="5" customWidth="1"/>
    <col min="28" max="28" width="27.5703125" style="5" bestFit="1" customWidth="1"/>
    <col min="29" max="16384" width="8.7109375" style="5"/>
  </cols>
  <sheetData>
    <row r="2" spans="2:12" x14ac:dyDescent="0.2">
      <c r="B2" s="9" t="s">
        <v>69</v>
      </c>
      <c r="C2" s="10" t="str">
        <f>Overview!$C$11</f>
        <v>Rocky Mountain Health Plans</v>
      </c>
    </row>
    <row r="3" spans="2:12" x14ac:dyDescent="0.2">
      <c r="B3" s="9" t="s">
        <v>71</v>
      </c>
      <c r="C3" s="10" t="str">
        <f>Overview!C12</f>
        <v>Region 01</v>
      </c>
    </row>
    <row r="4" spans="2:12" x14ac:dyDescent="0.2">
      <c r="B4" s="9" t="s">
        <v>20</v>
      </c>
      <c r="C4" s="11" t="s">
        <v>125</v>
      </c>
    </row>
    <row r="5" spans="2:12" x14ac:dyDescent="0.2">
      <c r="B5" s="9" t="s">
        <v>21</v>
      </c>
      <c r="C5" s="10" t="str">
        <f>Overview!C13</f>
        <v>July 1, 2022 - June 30, 2023</v>
      </c>
    </row>
    <row r="6" spans="2:12" x14ac:dyDescent="0.2">
      <c r="B6" s="9"/>
      <c r="C6" s="10"/>
      <c r="L6" s="10"/>
    </row>
    <row r="7" spans="2:12" x14ac:dyDescent="0.2">
      <c r="C7" s="30"/>
      <c r="D7" s="26" t="s">
        <v>49</v>
      </c>
      <c r="E7" s="26"/>
      <c r="F7" s="26"/>
      <c r="G7" s="26"/>
      <c r="H7" s="26"/>
      <c r="I7" s="26"/>
    </row>
    <row r="8" spans="2:12" x14ac:dyDescent="0.2">
      <c r="B8" s="26" t="s">
        <v>29</v>
      </c>
      <c r="C8" s="31" t="s">
        <v>42</v>
      </c>
      <c r="D8" s="33" t="s">
        <v>50</v>
      </c>
      <c r="E8" s="33" t="s">
        <v>51</v>
      </c>
      <c r="F8" s="33" t="s">
        <v>52</v>
      </c>
      <c r="G8" s="31" t="s">
        <v>40</v>
      </c>
      <c r="H8" s="31" t="s">
        <v>41</v>
      </c>
      <c r="I8" s="31" t="s">
        <v>29</v>
      </c>
    </row>
    <row r="9" spans="2:12" ht="15" x14ac:dyDescent="0.25">
      <c r="B9"/>
      <c r="C9" s="6" t="s">
        <v>43</v>
      </c>
      <c r="D9" s="56">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6">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6">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938</v>
      </c>
      <c r="G9" s="56">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0</v>
      </c>
      <c r="H9" s="56">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1825</v>
      </c>
      <c r="I9" s="56">
        <f>SUM(D9:H9)</f>
        <v>2763</v>
      </c>
    </row>
    <row r="10" spans="2:12" ht="15" x14ac:dyDescent="0.25">
      <c r="B10"/>
      <c r="C10" s="6" t="s">
        <v>44</v>
      </c>
      <c r="D10" s="56">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1959</v>
      </c>
      <c r="E10" s="56">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18502</v>
      </c>
      <c r="F10" s="56">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0</v>
      </c>
      <c r="G10" s="56">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6237</v>
      </c>
      <c r="H10" s="56">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6">
        <f t="shared" ref="I10:I12" si="0">SUM(D10:H10)</f>
        <v>26698</v>
      </c>
    </row>
    <row r="11" spans="2:12" ht="15.75" thickBot="1" x14ac:dyDescent="0.3">
      <c r="B11"/>
      <c r="C11" s="8" t="s">
        <v>45</v>
      </c>
      <c r="D11" s="57">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7">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7">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10</v>
      </c>
      <c r="G11" s="57">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7">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834</v>
      </c>
      <c r="I11" s="57">
        <f t="shared" si="0"/>
        <v>844</v>
      </c>
    </row>
    <row r="12" spans="2:12" ht="15.75" thickTop="1" x14ac:dyDescent="0.25">
      <c r="B12"/>
      <c r="C12" s="35" t="s">
        <v>29</v>
      </c>
      <c r="D12" s="58">
        <f>SUM(D9:D11)</f>
        <v>1959</v>
      </c>
      <c r="E12" s="58">
        <f t="shared" ref="E12:H12" si="1">SUM(E9:E11)</f>
        <v>18502</v>
      </c>
      <c r="F12" s="58">
        <f t="shared" si="1"/>
        <v>948</v>
      </c>
      <c r="G12" s="58">
        <f t="shared" si="1"/>
        <v>6237</v>
      </c>
      <c r="H12" s="58">
        <f t="shared" si="1"/>
        <v>2659</v>
      </c>
      <c r="I12" s="58">
        <f t="shared" si="0"/>
        <v>30305</v>
      </c>
    </row>
    <row r="13" spans="2:12" ht="15" x14ac:dyDescent="0.25">
      <c r="B13"/>
      <c r="C13"/>
      <c r="D13"/>
      <c r="E13"/>
      <c r="F13"/>
      <c r="G13"/>
      <c r="H13"/>
      <c r="I13"/>
      <c r="L13"/>
    </row>
    <row r="14" spans="2:12" ht="15" x14ac:dyDescent="0.25">
      <c r="C14" s="30"/>
      <c r="D14" s="26" t="s">
        <v>70</v>
      </c>
      <c r="E14" s="26"/>
      <c r="F14" s="26"/>
      <c r="G14" s="26"/>
      <c r="H14" s="26"/>
      <c r="I14" s="26"/>
      <c r="L14"/>
    </row>
    <row r="15" spans="2:12" ht="15" x14ac:dyDescent="0.25">
      <c r="B15" s="26" t="str">
        <f>B8</f>
        <v>Total</v>
      </c>
      <c r="C15" s="31" t="s">
        <v>42</v>
      </c>
      <c r="D15" s="33" t="s">
        <v>50</v>
      </c>
      <c r="E15" s="33" t="s">
        <v>51</v>
      </c>
      <c r="F15" s="33" t="s">
        <v>52</v>
      </c>
      <c r="G15" s="31" t="s">
        <v>40</v>
      </c>
      <c r="H15" s="31" t="s">
        <v>41</v>
      </c>
      <c r="I15" s="31" t="s">
        <v>29</v>
      </c>
      <c r="L15"/>
    </row>
    <row r="16" spans="2:12" ht="15" x14ac:dyDescent="0.25">
      <c r="B16"/>
      <c r="C16" s="6" t="s">
        <v>43</v>
      </c>
      <c r="D16" s="59">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59">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59">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715402.74</v>
      </c>
      <c r="G16" s="59">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0</v>
      </c>
      <c r="H16" s="59">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1683114.15</v>
      </c>
      <c r="I16" s="59">
        <f>SUM(D16:H16)</f>
        <v>2398516.8899999997</v>
      </c>
      <c r="L16"/>
    </row>
    <row r="17" spans="2:14" ht="15" x14ac:dyDescent="0.25">
      <c r="B17"/>
      <c r="C17" s="6" t="s">
        <v>44</v>
      </c>
      <c r="D17" s="59">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313150</v>
      </c>
      <c r="E17" s="59">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7415491.5</v>
      </c>
      <c r="F17" s="59">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0</v>
      </c>
      <c r="G17" s="59">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2189229.1599999997</v>
      </c>
      <c r="H17" s="59">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59">
        <f t="shared" ref="I17:I19" si="2">SUM(D17:H17)</f>
        <v>9917870.6600000001</v>
      </c>
      <c r="L17"/>
    </row>
    <row r="18" spans="2:14" ht="15.75" thickBot="1" x14ac:dyDescent="0.3">
      <c r="B18"/>
      <c r="C18" s="8" t="s">
        <v>45</v>
      </c>
      <c r="D18" s="60">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60">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60">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6695</v>
      </c>
      <c r="G18" s="60">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60">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768555.87999999989</v>
      </c>
      <c r="I18" s="60">
        <f t="shared" si="2"/>
        <v>775250.87999999989</v>
      </c>
      <c r="L18"/>
    </row>
    <row r="19" spans="2:14" ht="15.75" thickTop="1" x14ac:dyDescent="0.25">
      <c r="B19"/>
      <c r="C19" s="35" t="s">
        <v>29</v>
      </c>
      <c r="D19" s="61">
        <f>SUM(D16:D18)</f>
        <v>313150</v>
      </c>
      <c r="E19" s="61">
        <f t="shared" ref="E19:H19" si="3">SUM(E16:E18)</f>
        <v>7415491.5</v>
      </c>
      <c r="F19" s="61">
        <f t="shared" si="3"/>
        <v>722097.74</v>
      </c>
      <c r="G19" s="61">
        <f t="shared" si="3"/>
        <v>2189229.1599999997</v>
      </c>
      <c r="H19" s="61">
        <f t="shared" si="3"/>
        <v>2451670.0299999998</v>
      </c>
      <c r="I19" s="61">
        <f t="shared" si="2"/>
        <v>13091638.43</v>
      </c>
      <c r="L19"/>
    </row>
    <row r="20" spans="2:14" ht="15" x14ac:dyDescent="0.25">
      <c r="B20"/>
      <c r="C20"/>
      <c r="D20"/>
      <c r="E20"/>
      <c r="F20"/>
      <c r="G20"/>
      <c r="H20"/>
      <c r="I20"/>
      <c r="L20"/>
    </row>
    <row r="21" spans="2:14" ht="15" x14ac:dyDescent="0.25">
      <c r="C21" s="30"/>
      <c r="D21" s="26" t="s">
        <v>56</v>
      </c>
      <c r="E21" s="26"/>
      <c r="F21" s="26"/>
      <c r="G21" s="26"/>
      <c r="H21" s="26"/>
      <c r="I21" s="26"/>
      <c r="J21"/>
      <c r="L21"/>
    </row>
    <row r="22" spans="2:14" ht="15" x14ac:dyDescent="0.25">
      <c r="B22" s="82" t="str">
        <f>B15</f>
        <v>Total</v>
      </c>
      <c r="C22" s="64" t="s">
        <v>42</v>
      </c>
      <c r="D22" s="65" t="s">
        <v>50</v>
      </c>
      <c r="E22" s="65" t="s">
        <v>51</v>
      </c>
      <c r="F22" s="65" t="s">
        <v>52</v>
      </c>
      <c r="G22" s="64" t="s">
        <v>40</v>
      </c>
      <c r="H22" s="64" t="s">
        <v>41</v>
      </c>
      <c r="I22" s="64" t="s">
        <v>74</v>
      </c>
      <c r="J22"/>
      <c r="L22"/>
    </row>
    <row r="23" spans="2:14" ht="15" x14ac:dyDescent="0.25">
      <c r="B23"/>
      <c r="C23" s="6" t="s">
        <v>43</v>
      </c>
      <c r="D23" s="27">
        <f t="shared" ref="D23:H26" si="4">IF(D9 = 0,0,D16/D9)</f>
        <v>0</v>
      </c>
      <c r="E23" s="27">
        <f t="shared" si="4"/>
        <v>0</v>
      </c>
      <c r="F23" s="27">
        <f t="shared" si="4"/>
        <v>762.68948827292115</v>
      </c>
      <c r="G23" s="27">
        <f t="shared" si="4"/>
        <v>0</v>
      </c>
      <c r="H23" s="27">
        <f t="shared" si="4"/>
        <v>922.25432876712318</v>
      </c>
      <c r="I23" s="27">
        <f>IF(I9=0,0,SUMPRODUCT(D23:H23,D9:H9)/I9)</f>
        <v>868.08428881650366</v>
      </c>
      <c r="J23"/>
      <c r="L23"/>
    </row>
    <row r="24" spans="2:14" ht="15" x14ac:dyDescent="0.25">
      <c r="B24"/>
      <c r="C24" s="6" t="s">
        <v>44</v>
      </c>
      <c r="D24" s="27">
        <f t="shared" si="4"/>
        <v>159.85196528841246</v>
      </c>
      <c r="E24" s="27">
        <f t="shared" si="4"/>
        <v>400.79404929196846</v>
      </c>
      <c r="F24" s="27">
        <f t="shared" si="4"/>
        <v>0</v>
      </c>
      <c r="G24" s="27">
        <f t="shared" si="4"/>
        <v>351.00675966009294</v>
      </c>
      <c r="H24" s="27">
        <f t="shared" si="4"/>
        <v>0</v>
      </c>
      <c r="I24" s="27">
        <f>IF(I10=0,0,SUMPRODUCT(D24:H24,D10:H10)/I10)</f>
        <v>371.48365645366692</v>
      </c>
      <c r="J24"/>
      <c r="L24"/>
    </row>
    <row r="25" spans="2:14" ht="15.75" thickBot="1" x14ac:dyDescent="0.3">
      <c r="B25"/>
      <c r="C25" s="8" t="s">
        <v>45</v>
      </c>
      <c r="D25" s="41">
        <f t="shared" si="4"/>
        <v>0</v>
      </c>
      <c r="E25" s="41">
        <f t="shared" si="4"/>
        <v>0</v>
      </c>
      <c r="F25" s="41">
        <f t="shared" si="4"/>
        <v>669.5</v>
      </c>
      <c r="G25" s="41">
        <f t="shared" si="4"/>
        <v>0</v>
      </c>
      <c r="H25" s="41">
        <f t="shared" si="4"/>
        <v>921.52983213429241</v>
      </c>
      <c r="I25" s="41">
        <f>IF(I11=0,0,SUMPRODUCT(D25:H25,D11:H11)/I11)</f>
        <v>918.54369668246432</v>
      </c>
      <c r="J25"/>
      <c r="L25"/>
    </row>
    <row r="26" spans="2:14" ht="15.75" thickTop="1" x14ac:dyDescent="0.25">
      <c r="B26"/>
      <c r="C26" s="35" t="s">
        <v>29</v>
      </c>
      <c r="D26" s="40">
        <f t="shared" si="4"/>
        <v>159.85196528841246</v>
      </c>
      <c r="E26" s="40">
        <f t="shared" si="4"/>
        <v>400.79404929196846</v>
      </c>
      <c r="F26" s="40">
        <f t="shared" si="4"/>
        <v>761.70647679324895</v>
      </c>
      <c r="G26" s="40">
        <f t="shared" si="4"/>
        <v>351.00675966009294</v>
      </c>
      <c r="H26" s="40">
        <f t="shared" si="4"/>
        <v>922.0270891312523</v>
      </c>
      <c r="I26" s="40">
        <f>IF(I12=0,0,SUMPRODUCT(D26:H26,D12:H12)/I12)</f>
        <v>431.9959884507507</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55" t="s">
        <v>99</v>
      </c>
      <c r="C29"/>
      <c r="D29"/>
      <c r="E29"/>
      <c r="F29"/>
      <c r="G29"/>
      <c r="H29"/>
      <c r="I29"/>
      <c r="L29"/>
    </row>
    <row r="30" spans="2:14" ht="15" x14ac:dyDescent="0.25">
      <c r="B30"/>
      <c r="C30"/>
      <c r="D30"/>
      <c r="E30"/>
      <c r="F30"/>
      <c r="G30"/>
      <c r="H30"/>
      <c r="I30"/>
      <c r="L30"/>
    </row>
    <row r="31" spans="2:14" ht="15" x14ac:dyDescent="0.25">
      <c r="C31" s="30"/>
      <c r="D31" s="26" t="s">
        <v>57</v>
      </c>
      <c r="E31" s="26"/>
      <c r="F31" s="26"/>
      <c r="G31" s="26"/>
      <c r="H31" s="26"/>
      <c r="I31"/>
      <c r="L31"/>
    </row>
    <row r="32" spans="2:14" ht="15" x14ac:dyDescent="0.25">
      <c r="C32" s="64" t="s">
        <v>58</v>
      </c>
      <c r="D32" s="65" t="s">
        <v>50</v>
      </c>
      <c r="E32" s="65" t="s">
        <v>51</v>
      </c>
      <c r="F32" s="65" t="s">
        <v>52</v>
      </c>
      <c r="G32" s="64" t="s">
        <v>40</v>
      </c>
      <c r="H32" s="64" t="s">
        <v>41</v>
      </c>
      <c r="I32"/>
      <c r="L32"/>
      <c r="M32"/>
      <c r="N32"/>
    </row>
    <row r="33" spans="2:18" ht="15" x14ac:dyDescent="0.25">
      <c r="C33" s="6" t="s">
        <v>59</v>
      </c>
      <c r="D33" s="196">
        <v>190</v>
      </c>
      <c r="E33" s="196">
        <v>425</v>
      </c>
      <c r="F33" s="196">
        <v>650</v>
      </c>
      <c r="G33" s="196">
        <v>340</v>
      </c>
      <c r="H33" s="196">
        <v>960.62</v>
      </c>
      <c r="I33"/>
      <c r="L33"/>
      <c r="M33"/>
      <c r="N33"/>
    </row>
    <row r="34" spans="2:18" ht="15" x14ac:dyDescent="0.25">
      <c r="I34"/>
      <c r="L34"/>
      <c r="M34"/>
      <c r="N34"/>
    </row>
    <row r="35" spans="2:18" ht="15" x14ac:dyDescent="0.25">
      <c r="C35" s="42" t="s">
        <v>60</v>
      </c>
      <c r="D35" s="42"/>
      <c r="E35" s="42"/>
      <c r="F35"/>
      <c r="I35"/>
    </row>
    <row r="36" spans="2:18" ht="21.4" customHeight="1" x14ac:dyDescent="0.25">
      <c r="C36" s="66" t="s">
        <v>61</v>
      </c>
      <c r="D36" s="66" t="s">
        <v>48</v>
      </c>
      <c r="E36" s="81" t="s">
        <v>81</v>
      </c>
      <c r="F36"/>
      <c r="I36"/>
    </row>
    <row r="37" spans="2:18" ht="15" x14ac:dyDescent="0.25">
      <c r="C37" s="62">
        <f>IF(I12=0,0,(D33*D12+E33*E12+F33*F12+G33*G12+H33*H12)/I12)</f>
        <v>446.34973040752351</v>
      </c>
      <c r="D37" s="7">
        <f>I26</f>
        <v>431.9959884507507</v>
      </c>
      <c r="E37" s="7">
        <f>MIN(C37*1.05,D37)</f>
        <v>431.9959884507507</v>
      </c>
      <c r="F37"/>
    </row>
    <row r="39" spans="2:18" ht="15" x14ac:dyDescent="0.25">
      <c r="B39" s="76" t="s">
        <v>53</v>
      </c>
      <c r="C39" s="76"/>
      <c r="D39" s="76"/>
      <c r="E39" s="76"/>
      <c r="F39" s="76"/>
      <c r="G39"/>
      <c r="H39"/>
    </row>
    <row r="40" spans="2:18" ht="15" x14ac:dyDescent="0.25">
      <c r="B40"/>
      <c r="C40"/>
      <c r="D40"/>
      <c r="E40"/>
      <c r="F40"/>
      <c r="G40"/>
      <c r="H40"/>
    </row>
    <row r="41" spans="2:18" ht="15" x14ac:dyDescent="0.25">
      <c r="B41" s="83" t="s">
        <v>54</v>
      </c>
      <c r="C41" s="83"/>
      <c r="D41" s="83"/>
      <c r="E41" s="83"/>
      <c r="F41" s="83"/>
      <c r="G41"/>
      <c r="H41"/>
    </row>
    <row r="42" spans="2:18" ht="32.65" customHeight="1" x14ac:dyDescent="0.25">
      <c r="B42" s="71" t="s">
        <v>3</v>
      </c>
      <c r="C42" s="72" t="s">
        <v>73</v>
      </c>
      <c r="D42" s="71" t="s">
        <v>44</v>
      </c>
      <c r="E42" s="71" t="s">
        <v>55</v>
      </c>
      <c r="F42" s="71" t="s">
        <v>45</v>
      </c>
      <c r="G42"/>
      <c r="H42"/>
      <c r="L42"/>
      <c r="M42"/>
      <c r="N42"/>
      <c r="O42"/>
      <c r="P42"/>
      <c r="Q42"/>
      <c r="R42"/>
    </row>
    <row r="43" spans="2:18" ht="15" x14ac:dyDescent="0.25">
      <c r="B43" s="75">
        <f>'Report 1. MLR Template'!K16</f>
        <v>3010219</v>
      </c>
      <c r="C43" s="232">
        <v>0.47</v>
      </c>
      <c r="D43" s="232">
        <v>6.11</v>
      </c>
      <c r="E43" s="197">
        <v>7.4548685903998546E-2</v>
      </c>
      <c r="F43" s="232">
        <v>0.84</v>
      </c>
      <c r="G43" s="229" t="s">
        <v>285</v>
      </c>
      <c r="H43"/>
      <c r="L43"/>
      <c r="M43"/>
      <c r="N43"/>
      <c r="O43"/>
      <c r="P43"/>
      <c r="Q43"/>
      <c r="R43"/>
    </row>
    <row r="44" spans="2:18" ht="15" x14ac:dyDescent="0.25">
      <c r="L44"/>
      <c r="M44"/>
      <c r="N44"/>
      <c r="O44"/>
      <c r="P44"/>
      <c r="Q44"/>
      <c r="R44"/>
    </row>
    <row r="45" spans="2:18" ht="15" x14ac:dyDescent="0.25">
      <c r="L45"/>
      <c r="M45"/>
      <c r="N45"/>
      <c r="O45"/>
      <c r="P45"/>
      <c r="Q45"/>
      <c r="R45"/>
    </row>
    <row r="46" spans="2:18" ht="15" x14ac:dyDescent="0.25">
      <c r="B46" s="44" t="s">
        <v>80</v>
      </c>
      <c r="C46" s="45"/>
      <c r="D46" s="46"/>
      <c r="L46"/>
      <c r="M46"/>
      <c r="N46"/>
      <c r="O46"/>
      <c r="P46"/>
      <c r="Q46"/>
      <c r="R46"/>
    </row>
    <row r="47" spans="2:18" ht="15" x14ac:dyDescent="0.25">
      <c r="B47" s="47"/>
      <c r="L47"/>
      <c r="M47"/>
      <c r="N47"/>
      <c r="O47"/>
      <c r="P47"/>
      <c r="Q47"/>
      <c r="R47"/>
    </row>
    <row r="48" spans="2:18" ht="15" x14ac:dyDescent="0.25">
      <c r="B48" s="48" t="s">
        <v>63</v>
      </c>
      <c r="D48" s="49">
        <v>12</v>
      </c>
      <c r="L48"/>
      <c r="M48"/>
      <c r="N48"/>
      <c r="O48"/>
      <c r="P48"/>
      <c r="Q48"/>
      <c r="R48"/>
    </row>
    <row r="49" spans="2:18" ht="15" x14ac:dyDescent="0.25">
      <c r="B49" s="73" t="s">
        <v>5</v>
      </c>
      <c r="C49" s="74" t="s">
        <v>64</v>
      </c>
      <c r="D49" s="74"/>
      <c r="R49"/>
    </row>
    <row r="50" spans="2:18" ht="15" x14ac:dyDescent="0.25">
      <c r="B50" s="6" t="s">
        <v>6</v>
      </c>
      <c r="C50" s="50" t="s">
        <v>82</v>
      </c>
      <c r="D50" s="51">
        <f>B43*SUM(C43:F43)</f>
        <v>22560232.850733247</v>
      </c>
      <c r="E50" s="54"/>
      <c r="I50" s="233" t="s">
        <v>284</v>
      </c>
      <c r="J50" s="234">
        <f>('Report 1. MLR Template'!K21*0.19733)-(I19-12600268.03)</f>
        <v>105510.35498449963</v>
      </c>
      <c r="K50" s="233"/>
      <c r="L50" s="233" t="s">
        <v>293</v>
      </c>
      <c r="M50" s="233"/>
      <c r="R50"/>
    </row>
    <row r="51" spans="2:18" ht="15" x14ac:dyDescent="0.25">
      <c r="B51" s="6" t="s">
        <v>7</v>
      </c>
      <c r="C51" s="50" t="s">
        <v>83</v>
      </c>
      <c r="D51" s="231">
        <f>(E37*I12+'Report 4A. SUD RC Data'!C10)+J50+J51+J52+J53</f>
        <v>14540834.394984499</v>
      </c>
      <c r="E51" s="229" t="s">
        <v>285</v>
      </c>
      <c r="I51" s="233" t="s">
        <v>286</v>
      </c>
      <c r="J51" s="234">
        <v>514380</v>
      </c>
      <c r="K51" s="233"/>
      <c r="L51" s="233" t="s">
        <v>289</v>
      </c>
      <c r="M51" s="233"/>
    </row>
    <row r="52" spans="2:18" x14ac:dyDescent="0.2">
      <c r="B52" s="6" t="s">
        <v>8</v>
      </c>
      <c r="C52" s="50" t="s">
        <v>76</v>
      </c>
      <c r="D52" s="51">
        <f>D50-D51</f>
        <v>8019398.455748748</v>
      </c>
      <c r="I52" s="233" t="s">
        <v>287</v>
      </c>
      <c r="J52" s="234">
        <v>160200</v>
      </c>
      <c r="K52" s="233"/>
      <c r="L52" s="233" t="s">
        <v>291</v>
      </c>
      <c r="M52" s="233"/>
    </row>
    <row r="53" spans="2:18" ht="13.5" thickBot="1" x14ac:dyDescent="0.25">
      <c r="B53" s="8" t="s">
        <v>9</v>
      </c>
      <c r="C53" s="90" t="s">
        <v>77</v>
      </c>
      <c r="D53" s="52">
        <f>IF(D50 = 0,0,D52/D50)</f>
        <v>0.35546612079795548</v>
      </c>
      <c r="I53" s="233" t="s">
        <v>288</v>
      </c>
      <c r="J53" s="234">
        <v>34750</v>
      </c>
      <c r="K53" s="233"/>
      <c r="L53" s="233" t="s">
        <v>290</v>
      </c>
      <c r="M53" s="233"/>
    </row>
    <row r="54" spans="2:18" ht="26.25" thickTop="1" x14ac:dyDescent="0.2">
      <c r="B54" s="78" t="s">
        <v>10</v>
      </c>
      <c r="C54" s="84" t="s">
        <v>75</v>
      </c>
      <c r="D54" s="79">
        <f>IF(D50 = 0,0,D51/D50)</f>
        <v>0.64453387920204452</v>
      </c>
    </row>
    <row r="55" spans="2:18" ht="15" x14ac:dyDescent="0.2">
      <c r="B55" s="91" t="s">
        <v>84</v>
      </c>
      <c r="C55" s="85" t="s">
        <v>85</v>
      </c>
      <c r="D55" s="27">
        <f>IF(D54&lt;0.95,-(0.95*D50-D51),IF(D54&gt;1.05,-(1.05*D50-D51),0))</f>
        <v>-6891386.8132120855</v>
      </c>
      <c r="E55" s="77"/>
      <c r="F55" s="77"/>
    </row>
    <row r="56" spans="2:18" x14ac:dyDescent="0.2">
      <c r="B56" s="6" t="s">
        <v>86</v>
      </c>
      <c r="C56" s="85" t="s">
        <v>87</v>
      </c>
      <c r="D56" s="27">
        <f>IF(AND(D54&gt;0.99,D54&lt;1.01),0,MIN(MAX(D54,0.95),1.05)-IF(D54&lt;0.99,0.99,1.01))*0.5*D50</f>
        <v>-451204.65701466531</v>
      </c>
      <c r="F56" s="77"/>
      <c r="J56" s="230"/>
    </row>
    <row r="57" spans="2:18" x14ac:dyDescent="0.2">
      <c r="B57" s="6" t="s">
        <v>88</v>
      </c>
      <c r="C57" s="85" t="s">
        <v>89</v>
      </c>
      <c r="D57" s="27">
        <v>0</v>
      </c>
    </row>
    <row r="58" spans="2:18" ht="26.25" thickBot="1" x14ac:dyDescent="0.25">
      <c r="B58" s="80" t="s">
        <v>11</v>
      </c>
      <c r="C58" s="86" t="s">
        <v>78</v>
      </c>
      <c r="D58" s="93">
        <f>SUM(D55:D57)</f>
        <v>-7342591.4702267507</v>
      </c>
    </row>
    <row r="59" spans="2:18" ht="13.5" thickTop="1" x14ac:dyDescent="0.2">
      <c r="B59" s="92" t="s">
        <v>90</v>
      </c>
    </row>
    <row r="60" spans="2:18" ht="15" x14ac:dyDescent="0.25">
      <c r="B60"/>
      <c r="C60"/>
      <c r="D60"/>
      <c r="E60"/>
      <c r="F60"/>
      <c r="G60"/>
      <c r="H60"/>
    </row>
    <row r="61" spans="2:18" ht="15" x14ac:dyDescent="0.25">
      <c r="B61"/>
      <c r="C61"/>
      <c r="D61"/>
      <c r="E61"/>
      <c r="F61"/>
      <c r="G61"/>
      <c r="H61"/>
    </row>
    <row r="62" spans="2:18" ht="15" x14ac:dyDescent="0.25">
      <c r="B62"/>
      <c r="C62"/>
      <c r="D62"/>
      <c r="E62"/>
      <c r="F62"/>
      <c r="G62"/>
      <c r="H62"/>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7"/>
  <sheetViews>
    <sheetView showGridLines="0" workbookViewId="0"/>
  </sheetViews>
  <sheetFormatPr defaultColWidth="8.7109375" defaultRowHeight="15" customHeight="1" x14ac:dyDescent="0.25"/>
  <cols>
    <col min="1" max="1" width="8.7109375" customWidth="1"/>
    <col min="2" max="10" width="10.7109375" customWidth="1"/>
  </cols>
  <sheetData>
    <row r="2" spans="2:3" ht="15" customHeight="1" x14ac:dyDescent="0.25">
      <c r="B2" s="9" t="s">
        <v>69</v>
      </c>
      <c r="C2" s="10" t="str">
        <f>Overview!$C$11</f>
        <v>Rocky Mountain Health Plans</v>
      </c>
    </row>
    <row r="3" spans="2:3" ht="15" customHeight="1" x14ac:dyDescent="0.25">
      <c r="B3" s="9" t="s">
        <v>71</v>
      </c>
      <c r="C3" s="10" t="str">
        <f>Overview!C12</f>
        <v>Region 01</v>
      </c>
    </row>
    <row r="4" spans="2:3" ht="15" customHeight="1" x14ac:dyDescent="0.25">
      <c r="B4" s="9" t="s">
        <v>20</v>
      </c>
      <c r="C4" s="11" t="s">
        <v>112</v>
      </c>
    </row>
    <row r="5" spans="2:3" ht="15" customHeight="1" x14ac:dyDescent="0.25">
      <c r="B5" s="9" t="s">
        <v>21</v>
      </c>
      <c r="C5" s="10" t="str">
        <f>Overview!$C$13</f>
        <v>July 1, 2022 - June 30, 2023</v>
      </c>
    </row>
    <row r="7" spans="2:3" ht="15" customHeight="1" x14ac:dyDescent="0.25">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pageSetUpPr autoPageBreaks="0"/>
  </sheetPr>
  <dimension ref="A2:I30"/>
  <sheetViews>
    <sheetView showGridLines="0" zoomScaleNormal="100" workbookViewId="0"/>
  </sheetViews>
  <sheetFormatPr defaultColWidth="8.7109375" defaultRowHeight="12.75" x14ac:dyDescent="0.2"/>
  <cols>
    <col min="1" max="1" width="4.5703125" style="5" customWidth="1"/>
    <col min="2" max="2" width="38.42578125" style="5" customWidth="1"/>
    <col min="3" max="3" width="40.42578125" style="5" customWidth="1"/>
    <col min="4" max="4" width="16.7109375" style="5" bestFit="1" customWidth="1"/>
    <col min="5" max="5" width="22.28515625" style="5" customWidth="1"/>
    <col min="6" max="16384" width="8.7109375" style="5"/>
  </cols>
  <sheetData>
    <row r="2" spans="1:9" ht="20.85" customHeight="1" x14ac:dyDescent="0.2">
      <c r="A2" s="48"/>
      <c r="B2" s="99" t="s">
        <v>101</v>
      </c>
      <c r="C2" s="100"/>
    </row>
    <row r="3" spans="1:9" x14ac:dyDescent="0.2">
      <c r="B3" s="101" t="s">
        <v>102</v>
      </c>
      <c r="C3" s="101" t="s">
        <v>103</v>
      </c>
    </row>
    <row r="4" spans="1:9" x14ac:dyDescent="0.2">
      <c r="A4" s="102"/>
      <c r="B4" s="103" t="s">
        <v>104</v>
      </c>
      <c r="C4" s="103" t="s">
        <v>105</v>
      </c>
      <c r="D4" s="104"/>
    </row>
    <row r="5" spans="1:9" x14ac:dyDescent="0.2">
      <c r="B5" s="105">
        <v>5400</v>
      </c>
      <c r="C5" s="106">
        <v>8.4000000000000005E-2</v>
      </c>
      <c r="D5" s="104"/>
    </row>
    <row r="6" spans="1:9" x14ac:dyDescent="0.2">
      <c r="B6" s="105">
        <v>12000</v>
      </c>
      <c r="C6" s="106">
        <v>5.7000000000000002E-2</v>
      </c>
      <c r="D6" s="104"/>
    </row>
    <row r="7" spans="1:9" x14ac:dyDescent="0.2">
      <c r="B7" s="105">
        <v>24000</v>
      </c>
      <c r="C7" s="106">
        <v>0.04</v>
      </c>
      <c r="D7" s="104"/>
      <c r="H7" s="104"/>
    </row>
    <row r="8" spans="1:9" x14ac:dyDescent="0.2">
      <c r="B8" s="105">
        <v>48000</v>
      </c>
      <c r="C8" s="106">
        <v>2.9000000000000001E-2</v>
      </c>
      <c r="D8" s="104"/>
      <c r="H8" s="107"/>
      <c r="I8" s="108"/>
    </row>
    <row r="9" spans="1:9" x14ac:dyDescent="0.2">
      <c r="B9" s="105">
        <v>96000</v>
      </c>
      <c r="C9" s="106">
        <v>0.02</v>
      </c>
      <c r="D9" s="104"/>
      <c r="E9" s="107"/>
      <c r="F9" s="108"/>
      <c r="H9" s="109"/>
    </row>
    <row r="10" spans="1:9" x14ac:dyDescent="0.2">
      <c r="B10" s="105">
        <v>192000</v>
      </c>
      <c r="C10" s="106">
        <v>1.4999999999999999E-2</v>
      </c>
      <c r="D10" s="104"/>
    </row>
    <row r="11" spans="1:9" x14ac:dyDescent="0.2">
      <c r="B11" s="105">
        <v>380000</v>
      </c>
      <c r="C11" s="106">
        <v>0.01</v>
      </c>
      <c r="D11" s="104"/>
    </row>
    <row r="12" spans="1:9" x14ac:dyDescent="0.2">
      <c r="B12" s="103" t="s">
        <v>106</v>
      </c>
      <c r="C12" s="103" t="s">
        <v>107</v>
      </c>
    </row>
    <row r="13" spans="1:9" x14ac:dyDescent="0.2">
      <c r="B13" s="53" t="s">
        <v>108</v>
      </c>
    </row>
    <row r="15" spans="1:9" ht="13.5" thickBot="1" x14ac:dyDescent="0.25"/>
    <row r="16" spans="1:9" x14ac:dyDescent="0.2">
      <c r="B16" s="110" t="s">
        <v>109</v>
      </c>
      <c r="C16" s="111" t="s">
        <v>110</v>
      </c>
    </row>
    <row r="17" spans="2:7" ht="13.5" thickBot="1" x14ac:dyDescent="0.25">
      <c r="B17" s="203">
        <f>'Report 1. MLR Template'!K16</f>
        <v>3010219</v>
      </c>
      <c r="C17" s="195">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2">
      <c r="C18" s="112"/>
    </row>
    <row r="19" spans="2:7" x14ac:dyDescent="0.2">
      <c r="C19" s="112"/>
    </row>
    <row r="21" spans="2:7" x14ac:dyDescent="0.2">
      <c r="C21" s="104"/>
      <c r="D21" s="108"/>
    </row>
    <row r="22" spans="2:7" x14ac:dyDescent="0.2">
      <c r="B22" s="108"/>
      <c r="C22" s="108"/>
      <c r="F22" s="113"/>
      <c r="G22" s="114"/>
    </row>
    <row r="23" spans="2:7" x14ac:dyDescent="0.2">
      <c r="B23" s="115"/>
      <c r="C23" s="102"/>
      <c r="G23" s="108"/>
    </row>
    <row r="24" spans="2:7" x14ac:dyDescent="0.2">
      <c r="B24" s="104"/>
      <c r="C24" s="104"/>
    </row>
    <row r="25" spans="2:7" x14ac:dyDescent="0.2">
      <c r="B25" s="102"/>
    </row>
    <row r="26" spans="2:7" x14ac:dyDescent="0.2">
      <c r="B26" s="102"/>
      <c r="C26" s="109"/>
    </row>
    <row r="28" spans="2:7" x14ac:dyDescent="0.2">
      <c r="C28" s="108"/>
    </row>
    <row r="29" spans="2:7" x14ac:dyDescent="0.2">
      <c r="C29" s="108"/>
    </row>
    <row r="30" spans="2:7" x14ac:dyDescent="0.2">
      <c r="C30" s="109"/>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pageSetUpPr autoPageBreaks="0" fitToPage="1"/>
  </sheetPr>
  <dimension ref="B1:N34"/>
  <sheetViews>
    <sheetView showGridLines="0" zoomScaleNormal="100" workbookViewId="0">
      <selection activeCell="B4" sqref="B4"/>
    </sheetView>
  </sheetViews>
  <sheetFormatPr defaultColWidth="8.7109375" defaultRowHeight="15" customHeight="1" x14ac:dyDescent="0.2"/>
  <cols>
    <col min="1" max="1" width="1.5703125" style="116" customWidth="1"/>
    <col min="2" max="16384" width="8.7109375" style="116"/>
  </cols>
  <sheetData>
    <row r="1" spans="2:14" ht="13.15" customHeight="1" x14ac:dyDescent="0.2"/>
    <row r="2" spans="2:14" ht="15" customHeight="1" x14ac:dyDescent="0.2">
      <c r="B2" s="10" t="s">
        <v>31</v>
      </c>
    </row>
    <row r="4" spans="2:14" ht="15" customHeight="1" x14ac:dyDescent="0.2">
      <c r="B4" s="210" t="s">
        <v>294</v>
      </c>
      <c r="C4" s="211"/>
      <c r="D4" s="211"/>
      <c r="E4" s="211"/>
      <c r="F4" s="211"/>
      <c r="G4" s="211"/>
      <c r="H4" s="211"/>
      <c r="I4" s="211"/>
      <c r="J4" s="211"/>
      <c r="K4" s="211"/>
      <c r="L4" s="211"/>
      <c r="M4" s="211"/>
      <c r="N4" s="212"/>
    </row>
    <row r="5" spans="2:14" ht="15" customHeight="1" x14ac:dyDescent="0.2">
      <c r="B5" s="213" t="s">
        <v>295</v>
      </c>
      <c r="C5" s="214"/>
      <c r="D5" s="214"/>
      <c r="E5" s="214"/>
      <c r="F5" s="214"/>
      <c r="G5" s="214"/>
      <c r="H5" s="214"/>
      <c r="I5" s="214"/>
      <c r="J5" s="214"/>
      <c r="K5" s="214"/>
      <c r="L5" s="214"/>
      <c r="M5" s="214"/>
      <c r="N5" s="215"/>
    </row>
    <row r="6" spans="2:14" ht="15" customHeight="1" x14ac:dyDescent="0.2">
      <c r="B6" s="213" t="s">
        <v>296</v>
      </c>
      <c r="C6" s="214"/>
      <c r="D6" s="214"/>
      <c r="E6" s="214"/>
      <c r="F6" s="214"/>
      <c r="G6" s="214"/>
      <c r="H6" s="214"/>
      <c r="I6" s="214"/>
      <c r="J6" s="214"/>
      <c r="K6" s="214"/>
      <c r="L6" s="214"/>
      <c r="M6" s="214"/>
      <c r="N6" s="215"/>
    </row>
    <row r="7" spans="2:14" ht="15" customHeight="1" x14ac:dyDescent="0.2">
      <c r="B7" s="213" t="s">
        <v>297</v>
      </c>
      <c r="C7" s="214"/>
      <c r="D7" s="214"/>
      <c r="E7" s="214"/>
      <c r="F7" s="214"/>
      <c r="G7" s="214"/>
      <c r="H7" s="214"/>
      <c r="I7" s="214"/>
      <c r="J7" s="214"/>
      <c r="K7" s="214"/>
      <c r="L7" s="214"/>
      <c r="M7" s="214"/>
      <c r="N7" s="215"/>
    </row>
    <row r="8" spans="2:14" ht="15" customHeight="1" x14ac:dyDescent="0.2">
      <c r="B8" s="213"/>
      <c r="C8" s="214"/>
      <c r="D8" s="214"/>
      <c r="E8" s="214"/>
      <c r="F8" s="214"/>
      <c r="G8" s="214"/>
      <c r="H8" s="214"/>
      <c r="I8" s="214"/>
      <c r="J8" s="214"/>
      <c r="K8" s="214"/>
      <c r="L8" s="214"/>
      <c r="M8" s="214"/>
      <c r="N8" s="215"/>
    </row>
    <row r="9" spans="2:14" ht="15" customHeight="1" x14ac:dyDescent="0.2">
      <c r="B9" s="213"/>
      <c r="C9" s="214"/>
      <c r="D9" s="214"/>
      <c r="E9" s="214"/>
      <c r="F9" s="214"/>
      <c r="G9" s="214"/>
      <c r="H9" s="214"/>
      <c r="I9" s="214"/>
      <c r="J9" s="214"/>
      <c r="K9" s="214"/>
      <c r="L9" s="214"/>
      <c r="M9" s="214"/>
      <c r="N9" s="215"/>
    </row>
    <row r="10" spans="2:14" ht="15" customHeight="1" x14ac:dyDescent="0.2">
      <c r="B10" s="213"/>
      <c r="C10" s="214"/>
      <c r="D10" s="214"/>
      <c r="E10" s="214"/>
      <c r="F10" s="214"/>
      <c r="G10" s="214"/>
      <c r="H10" s="214"/>
      <c r="I10" s="214"/>
      <c r="J10" s="214"/>
      <c r="K10" s="214"/>
      <c r="L10" s="214"/>
      <c r="M10" s="214"/>
      <c r="N10" s="215"/>
    </row>
    <row r="11" spans="2:14" ht="15" customHeight="1" x14ac:dyDescent="0.2">
      <c r="B11" s="216"/>
      <c r="C11" s="217"/>
      <c r="D11" s="217"/>
      <c r="E11" s="217"/>
      <c r="F11" s="217"/>
      <c r="G11" s="217"/>
      <c r="H11" s="217"/>
      <c r="I11" s="217"/>
      <c r="J11" s="217"/>
      <c r="K11" s="217"/>
      <c r="L11" s="217"/>
      <c r="M11" s="217"/>
      <c r="N11" s="218"/>
    </row>
    <row r="15" spans="2:14" ht="15" customHeight="1" x14ac:dyDescent="0.2">
      <c r="B15" s="117" t="s">
        <v>33</v>
      </c>
      <c r="C15" s="117"/>
      <c r="D15" s="117"/>
      <c r="E15" s="117"/>
      <c r="F15" s="117"/>
      <c r="G15" s="117"/>
      <c r="H15" s="117"/>
      <c r="I15" s="117"/>
      <c r="J15" s="117"/>
      <c r="K15" s="117"/>
      <c r="L15" s="117"/>
      <c r="M15" s="117"/>
      <c r="N15" s="117"/>
    </row>
    <row r="16" spans="2:14" ht="15" customHeight="1" x14ac:dyDescent="0.2">
      <c r="B16" s="253" t="s">
        <v>280</v>
      </c>
      <c r="C16" s="254"/>
      <c r="D16" s="254"/>
      <c r="E16" s="254"/>
      <c r="F16" s="254"/>
      <c r="G16" s="254"/>
      <c r="H16" s="254"/>
      <c r="I16" s="254"/>
      <c r="J16" s="254"/>
      <c r="K16" s="254"/>
      <c r="L16" s="254"/>
      <c r="M16" s="254"/>
      <c r="N16" s="255"/>
    </row>
    <row r="17" spans="2:14" ht="15" customHeight="1" x14ac:dyDescent="0.2">
      <c r="B17" s="256"/>
      <c r="C17" s="257"/>
      <c r="D17" s="257"/>
      <c r="E17" s="257"/>
      <c r="F17" s="257"/>
      <c r="G17" s="257"/>
      <c r="H17" s="257"/>
      <c r="I17" s="257"/>
      <c r="J17" s="257"/>
      <c r="K17" s="257"/>
      <c r="L17" s="257"/>
      <c r="M17" s="257"/>
      <c r="N17" s="258"/>
    </row>
    <row r="18" spans="2:14" ht="15" customHeight="1" x14ac:dyDescent="0.2">
      <c r="B18" s="256"/>
      <c r="C18" s="257"/>
      <c r="D18" s="257"/>
      <c r="E18" s="257"/>
      <c r="F18" s="257"/>
      <c r="G18" s="257"/>
      <c r="H18" s="257"/>
      <c r="I18" s="257"/>
      <c r="J18" s="257"/>
      <c r="K18" s="257"/>
      <c r="L18" s="257"/>
      <c r="M18" s="257"/>
      <c r="N18" s="258"/>
    </row>
    <row r="19" spans="2:14" ht="15" customHeight="1" x14ac:dyDescent="0.2">
      <c r="B19" s="256"/>
      <c r="C19" s="257"/>
      <c r="D19" s="257"/>
      <c r="E19" s="257"/>
      <c r="F19" s="257"/>
      <c r="G19" s="257"/>
      <c r="H19" s="257"/>
      <c r="I19" s="257"/>
      <c r="J19" s="257"/>
      <c r="K19" s="257"/>
      <c r="L19" s="257"/>
      <c r="M19" s="257"/>
      <c r="N19" s="258"/>
    </row>
    <row r="20" spans="2:14" ht="15" customHeight="1" x14ac:dyDescent="0.2">
      <c r="B20" s="256"/>
      <c r="C20" s="257"/>
      <c r="D20" s="257"/>
      <c r="E20" s="257"/>
      <c r="F20" s="257"/>
      <c r="G20" s="257"/>
      <c r="H20" s="257"/>
      <c r="I20" s="257"/>
      <c r="J20" s="257"/>
      <c r="K20" s="257"/>
      <c r="L20" s="257"/>
      <c r="M20" s="257"/>
      <c r="N20" s="258"/>
    </row>
    <row r="21" spans="2:14" ht="15" customHeight="1" x14ac:dyDescent="0.2">
      <c r="B21" s="256"/>
      <c r="C21" s="257"/>
      <c r="D21" s="257"/>
      <c r="E21" s="257"/>
      <c r="F21" s="257"/>
      <c r="G21" s="257"/>
      <c r="H21" s="257"/>
      <c r="I21" s="257"/>
      <c r="J21" s="257"/>
      <c r="K21" s="257"/>
      <c r="L21" s="257"/>
      <c r="M21" s="257"/>
      <c r="N21" s="258"/>
    </row>
    <row r="22" spans="2:14" ht="15" customHeight="1" x14ac:dyDescent="0.2">
      <c r="B22" s="256"/>
      <c r="C22" s="257"/>
      <c r="D22" s="257"/>
      <c r="E22" s="257"/>
      <c r="F22" s="257"/>
      <c r="G22" s="257"/>
      <c r="H22" s="257"/>
      <c r="I22" s="257"/>
      <c r="J22" s="257"/>
      <c r="K22" s="257"/>
      <c r="L22" s="257"/>
      <c r="M22" s="257"/>
      <c r="N22" s="258"/>
    </row>
    <row r="23" spans="2:14" ht="15" customHeight="1" x14ac:dyDescent="0.2">
      <c r="B23" s="256"/>
      <c r="C23" s="257"/>
      <c r="D23" s="257"/>
      <c r="E23" s="257"/>
      <c r="F23" s="257"/>
      <c r="G23" s="257"/>
      <c r="H23" s="257"/>
      <c r="I23" s="257"/>
      <c r="J23" s="257"/>
      <c r="K23" s="257"/>
      <c r="L23" s="257"/>
      <c r="M23" s="257"/>
      <c r="N23" s="258"/>
    </row>
    <row r="24" spans="2:14" ht="15" customHeight="1" x14ac:dyDescent="0.2">
      <c r="B24" s="256"/>
      <c r="C24" s="257"/>
      <c r="D24" s="257"/>
      <c r="E24" s="257"/>
      <c r="F24" s="257"/>
      <c r="G24" s="257"/>
      <c r="H24" s="257"/>
      <c r="I24" s="257"/>
      <c r="J24" s="257"/>
      <c r="K24" s="257"/>
      <c r="L24" s="257"/>
      <c r="M24" s="257"/>
      <c r="N24" s="258"/>
    </row>
    <row r="25" spans="2:14" ht="15" customHeight="1" x14ac:dyDescent="0.2">
      <c r="B25" s="256"/>
      <c r="C25" s="257"/>
      <c r="D25" s="257"/>
      <c r="E25" s="257"/>
      <c r="F25" s="257"/>
      <c r="G25" s="257"/>
      <c r="H25" s="257"/>
      <c r="I25" s="257"/>
      <c r="J25" s="257"/>
      <c r="K25" s="257"/>
      <c r="L25" s="257"/>
      <c r="M25" s="257"/>
      <c r="N25" s="258"/>
    </row>
    <row r="26" spans="2:14" ht="15" customHeight="1" x14ac:dyDescent="0.2">
      <c r="B26" s="256"/>
      <c r="C26" s="257"/>
      <c r="D26" s="257"/>
      <c r="E26" s="257"/>
      <c r="F26" s="257"/>
      <c r="G26" s="257"/>
      <c r="H26" s="257"/>
      <c r="I26" s="257"/>
      <c r="J26" s="257"/>
      <c r="K26" s="257"/>
      <c r="L26" s="257"/>
      <c r="M26" s="257"/>
      <c r="N26" s="258"/>
    </row>
    <row r="27" spans="2:14" ht="15" customHeight="1" x14ac:dyDescent="0.2">
      <c r="B27" s="256"/>
      <c r="C27" s="257"/>
      <c r="D27" s="257"/>
      <c r="E27" s="257"/>
      <c r="F27" s="257"/>
      <c r="G27" s="257"/>
      <c r="H27" s="257"/>
      <c r="I27" s="257"/>
      <c r="J27" s="257"/>
      <c r="K27" s="257"/>
      <c r="L27" s="257"/>
      <c r="M27" s="257"/>
      <c r="N27" s="258"/>
    </row>
    <row r="28" spans="2:14" ht="15" customHeight="1" x14ac:dyDescent="0.2">
      <c r="B28" s="256"/>
      <c r="C28" s="257"/>
      <c r="D28" s="257"/>
      <c r="E28" s="257"/>
      <c r="F28" s="257"/>
      <c r="G28" s="257"/>
      <c r="H28" s="257"/>
      <c r="I28" s="257"/>
      <c r="J28" s="257"/>
      <c r="K28" s="257"/>
      <c r="L28" s="257"/>
      <c r="M28" s="257"/>
      <c r="N28" s="258"/>
    </row>
    <row r="29" spans="2:14" ht="15" customHeight="1" x14ac:dyDescent="0.2">
      <c r="B29" s="256"/>
      <c r="C29" s="257"/>
      <c r="D29" s="257"/>
      <c r="E29" s="257"/>
      <c r="F29" s="257"/>
      <c r="G29" s="257"/>
      <c r="H29" s="257"/>
      <c r="I29" s="257"/>
      <c r="J29" s="257"/>
      <c r="K29" s="257"/>
      <c r="L29" s="257"/>
      <c r="M29" s="257"/>
      <c r="N29" s="258"/>
    </row>
    <row r="30" spans="2:14" ht="15" customHeight="1" x14ac:dyDescent="0.2">
      <c r="B30" s="256"/>
      <c r="C30" s="257"/>
      <c r="D30" s="257"/>
      <c r="E30" s="257"/>
      <c r="F30" s="257"/>
      <c r="G30" s="257"/>
      <c r="H30" s="257"/>
      <c r="I30" s="257"/>
      <c r="J30" s="257"/>
      <c r="K30" s="257"/>
      <c r="L30" s="257"/>
      <c r="M30" s="257"/>
      <c r="N30" s="258"/>
    </row>
    <row r="31" spans="2:14" ht="15" customHeight="1" x14ac:dyDescent="0.2">
      <c r="B31" s="256"/>
      <c r="C31" s="257"/>
      <c r="D31" s="257"/>
      <c r="E31" s="257"/>
      <c r="F31" s="257"/>
      <c r="G31" s="257"/>
      <c r="H31" s="257"/>
      <c r="I31" s="257"/>
      <c r="J31" s="257"/>
      <c r="K31" s="257"/>
      <c r="L31" s="257"/>
      <c r="M31" s="257"/>
      <c r="N31" s="258"/>
    </row>
    <row r="32" spans="2:14" ht="15" customHeight="1" x14ac:dyDescent="0.2">
      <c r="B32" s="256"/>
      <c r="C32" s="257"/>
      <c r="D32" s="257"/>
      <c r="E32" s="257"/>
      <c r="F32" s="257"/>
      <c r="G32" s="257"/>
      <c r="H32" s="257"/>
      <c r="I32" s="257"/>
      <c r="J32" s="257"/>
      <c r="K32" s="257"/>
      <c r="L32" s="257"/>
      <c r="M32" s="257"/>
      <c r="N32" s="258"/>
    </row>
    <row r="33" spans="2:14" ht="15" customHeight="1" x14ac:dyDescent="0.2">
      <c r="B33" s="256"/>
      <c r="C33" s="257"/>
      <c r="D33" s="257"/>
      <c r="E33" s="257"/>
      <c r="F33" s="257"/>
      <c r="G33" s="257"/>
      <c r="H33" s="257"/>
      <c r="I33" s="257"/>
      <c r="J33" s="257"/>
      <c r="K33" s="257"/>
      <c r="L33" s="257"/>
      <c r="M33" s="257"/>
      <c r="N33" s="258"/>
    </row>
    <row r="34" spans="2:14" ht="15" customHeight="1" x14ac:dyDescent="0.2">
      <c r="B34" s="259"/>
      <c r="C34" s="260"/>
      <c r="D34" s="260"/>
      <c r="E34" s="260"/>
      <c r="F34" s="260"/>
      <c r="G34" s="260"/>
      <c r="H34" s="260"/>
      <c r="I34" s="260"/>
      <c r="J34" s="260"/>
      <c r="K34" s="260"/>
      <c r="L34" s="260"/>
      <c r="M34" s="260"/>
      <c r="N34" s="261"/>
    </row>
  </sheetData>
  <mergeCells count="1">
    <mergeCell ref="B16:N34"/>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1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Report 5. Certification</vt:lpstr>
      <vt:lpstr>Credibility Table</vt:lpstr>
      <vt:lpstr>RAE Scratch Sheet</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Melanie Maddocks</cp:lastModifiedBy>
  <cp:lastPrinted>2024-01-10T21:44:34Z</cp:lastPrinted>
  <dcterms:created xsi:type="dcterms:W3CDTF">2015-11-05T21:44:37Z</dcterms:created>
  <dcterms:modified xsi:type="dcterms:W3CDTF">2024-01-16T18:39:55Z</dcterms:modified>
</cp:coreProperties>
</file>