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L:\ACCT\HCPF Rate Documents\RAE\Behavioral Health\MLR\SFY 2023\"/>
    </mc:Choice>
  </mc:AlternateContent>
  <xr:revisionPtr revIDLastSave="0" documentId="13_ncr:1_{FA2A458D-94AB-493F-9200-F7780AC9402A}" xr6:coauthVersionLast="47" xr6:coauthVersionMax="47" xr10:uidLastSave="{00000000-0000-0000-0000-000000000000}"/>
  <bookViews>
    <workbookView xWindow="28680" yWindow="-120" windowWidth="29040" windowHeight="15840" activeTab="1" xr2:uid="{00000000-000D-0000-FFFF-FFFF00000000}"/>
  </bookViews>
  <sheets>
    <sheet name="Overview" sheetId="2" r:id="rId1"/>
    <sheet name="Report 1. MLR Template" sheetId="1" r:id="rId2"/>
    <sheet name="Report 2. MLR Quality Metrics" sheetId="17" r:id="rId3"/>
    <sheet name="Report 3. Admin Non-Claim Costs" sheetId="18" r:id="rId4"/>
    <sheet name="Report 4A. SUD RC Data" sheetId="8" r:id="rId5"/>
    <sheet name="Report 4B. SUD RC Calc" sheetId="11" r:id="rId6"/>
    <sheet name="Report 5. Certification" sheetId="4" r:id="rId7"/>
    <sheet name="Credibility Table" sheetId="15" r:id="rId8"/>
    <sheet name="RAE Scratch Sheet" sheetId="16" r:id="rId9"/>
  </sheets>
  <externalReferences>
    <externalReference r:id="rId10"/>
    <externalReference r:id="rId11"/>
    <externalReference r:id="rId12"/>
    <externalReference r:id="rId13"/>
  </externalReferences>
  <definedNames>
    <definedName name="_xlnm.Print_Area" localSheetId="7">'Credibility Table'!$A$2:$E$19</definedName>
    <definedName name="_xlnm.Print_Area" localSheetId="0">Overview!$B$2:$I$85</definedName>
    <definedName name="_xlnm.Print_Area" localSheetId="8">'RAE Scratch Sheet'!$B$2:$N$34</definedName>
    <definedName name="_xlnm.Print_Area" localSheetId="1">'Report 1. MLR Template'!$B$2:$D$55,'Report 1. MLR Template'!$E$2:$E$55,'Report 1. MLR Template'!$F$2:$F$55,'Report 1. MLR Template'!$G$2:$G$55,'Report 1. MLR Template'!$H$2:$H$55,'Report 1. MLR Template'!$I$2:$I$55,'Report 1. MLR Template'!$J$2:$J$55,'Report 1. MLR Template'!$K$2:$K$55</definedName>
    <definedName name="_xlnm.Print_Area" localSheetId="2">'Report 2. MLR Quality Metrics'!$B$2:$E$15</definedName>
    <definedName name="_xlnm.Print_Area" localSheetId="3">'Report 3. Admin Non-Claim Costs'!$B$2:$D$63</definedName>
    <definedName name="_xlnm.Print_Area" localSheetId="4">'Report 4A. SUD RC Data'!$B$2:$P$94</definedName>
    <definedName name="_xlnm.Print_Area" localSheetId="5">'Report 4B. SUD RC Calc'!$B$2:$J$64</definedName>
    <definedName name="_xlnm.Print_Titles" localSheetId="3">'Report 3. Admin Non-Claim Costs'!$2:$6</definedName>
    <definedName name="_xlnm.Print_Titles" localSheetId="4">'Report 4A. SUD RC Data'!$2:$6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1" l="1"/>
  <c r="I21" i="1"/>
  <c r="H21" i="1"/>
  <c r="G21" i="1"/>
  <c r="F21" i="1"/>
  <c r="E21" i="1"/>
  <c r="D21" i="1"/>
  <c r="C10" i="8"/>
  <c r="E37" i="11" l="1"/>
  <c r="F43" i="11" l="1"/>
  <c r="E43" i="11"/>
  <c r="D43" i="11"/>
  <c r="C43" i="11"/>
  <c r="J22" i="1" l="1"/>
  <c r="I22" i="1"/>
  <c r="H22" i="1"/>
  <c r="G22" i="1"/>
  <c r="F22" i="1"/>
  <c r="E22" i="1"/>
  <c r="D22" i="1"/>
  <c r="J16" i="1"/>
  <c r="I16" i="1"/>
  <c r="H16" i="1"/>
  <c r="G16" i="1"/>
  <c r="F16" i="1"/>
  <c r="E16" i="1"/>
  <c r="D16" i="1"/>
  <c r="J19" i="1"/>
  <c r="I19" i="1"/>
  <c r="H19" i="1"/>
  <c r="G19" i="1"/>
  <c r="F19" i="1"/>
  <c r="E19" i="1"/>
  <c r="D19" i="1"/>
  <c r="J8" i="1"/>
  <c r="I8" i="1"/>
  <c r="H8" i="1"/>
  <c r="G8" i="1"/>
  <c r="F8" i="1"/>
  <c r="E8" i="1"/>
  <c r="D8" i="1"/>
  <c r="D53" i="18" l="1"/>
  <c r="D52" i="18"/>
  <c r="D51" i="18"/>
  <c r="D50" i="18"/>
  <c r="D49" i="18"/>
  <c r="D48" i="18"/>
  <c r="D47" i="18"/>
  <c r="D46" i="18"/>
  <c r="D42" i="18"/>
  <c r="D41" i="18"/>
  <c r="D40" i="18"/>
  <c r="D39" i="18"/>
  <c r="D38" i="18"/>
  <c r="D37" i="18"/>
  <c r="D36" i="18"/>
  <c r="D35" i="18"/>
  <c r="D34" i="18"/>
  <c r="D33" i="18"/>
  <c r="D31" i="18"/>
  <c r="D30" i="18"/>
  <c r="D29" i="18"/>
  <c r="D28" i="18"/>
  <c r="D27" i="18"/>
  <c r="D26" i="18"/>
  <c r="D25" i="18"/>
  <c r="D24" i="18"/>
  <c r="D23" i="18"/>
  <c r="D22" i="18"/>
  <c r="D21" i="18"/>
  <c r="D20" i="18"/>
  <c r="D19" i="18"/>
  <c r="K16" i="1" l="1"/>
  <c r="K12" i="1"/>
  <c r="K11" i="1"/>
  <c r="K10" i="1"/>
  <c r="K9" i="1"/>
  <c r="K8" i="1"/>
  <c r="K13" i="1" s="1"/>
  <c r="K30" i="1" l="1"/>
  <c r="K29" i="1"/>
  <c r="K28" i="1"/>
  <c r="K27" i="1"/>
  <c r="K23" i="1"/>
  <c r="K22" i="1"/>
  <c r="K20" i="1"/>
  <c r="K19" i="1"/>
  <c r="K36" i="1"/>
  <c r="K37" i="1" s="1"/>
  <c r="C5" i="18"/>
  <c r="C3" i="18"/>
  <c r="C2" i="18"/>
  <c r="D54" i="18"/>
  <c r="D43" i="18"/>
  <c r="C5" i="17"/>
  <c r="C3" i="17"/>
  <c r="C2" i="17"/>
  <c r="B43" i="11"/>
  <c r="C5" i="4"/>
  <c r="C5" i="11"/>
  <c r="C5" i="8"/>
  <c r="C5" i="1"/>
  <c r="D55" i="18" l="1"/>
  <c r="B17" i="15"/>
  <c r="C17" i="15" s="1"/>
  <c r="K33" i="1" s="1"/>
  <c r="C3" i="1" l="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C3" i="4" l="1"/>
  <c r="C3" i="11"/>
  <c r="C3"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E24" i="11" l="1"/>
  <c r="I16" i="11"/>
  <c r="I17" i="11"/>
  <c r="G19" i="11"/>
  <c r="D24" i="11"/>
  <c r="E19" i="11"/>
  <c r="I18" i="11"/>
  <c r="G24" i="11"/>
  <c r="H12" i="11"/>
  <c r="D19" i="11"/>
  <c r="D23" i="11"/>
  <c r="I9" i="11"/>
  <c r="I23" i="11" s="1"/>
  <c r="I11" i="11"/>
  <c r="I25" i="11" s="1"/>
  <c r="H19" i="11"/>
  <c r="I10" i="11"/>
  <c r="H24" i="11"/>
  <c r="G12" i="11"/>
  <c r="F19" i="11"/>
  <c r="F12" i="11"/>
  <c r="F24" i="11"/>
  <c r="D12" i="11"/>
  <c r="E12" i="11"/>
  <c r="E26" i="11" s="1"/>
  <c r="H26" i="11" l="1"/>
  <c r="G26" i="11"/>
  <c r="F26" i="11"/>
  <c r="I24" i="11"/>
  <c r="I19" i="11"/>
  <c r="D26" i="11"/>
  <c r="I12" i="11"/>
  <c r="C2" i="4"/>
  <c r="C37" i="11" l="1"/>
  <c r="I26" i="11"/>
  <c r="D37" i="11" s="1"/>
  <c r="C2" i="1"/>
  <c r="D50" i="11" l="1"/>
  <c r="I25" i="1" l="1"/>
  <c r="E25" i="1" l="1"/>
  <c r="J25" i="1"/>
  <c r="G25" i="1"/>
  <c r="D25" i="1"/>
  <c r="K25" i="1" s="1"/>
  <c r="H25" i="1"/>
  <c r="H26" i="1"/>
  <c r="G26" i="1"/>
  <c r="I26" i="1"/>
  <c r="D26" i="1"/>
  <c r="K26" i="1" s="1"/>
  <c r="J26" i="1"/>
  <c r="F26" i="1"/>
  <c r="E26" i="1"/>
  <c r="F25" i="1"/>
  <c r="J31" i="1" l="1"/>
  <c r="F31" i="1"/>
  <c r="I31" i="1"/>
  <c r="D31" i="1"/>
  <c r="G31" i="1"/>
  <c r="H31" i="1"/>
  <c r="E31" i="1"/>
  <c r="K21" i="1" l="1"/>
  <c r="K31" i="1" s="1"/>
  <c r="D51" i="11" l="1"/>
  <c r="D52" i="11" l="1"/>
  <c r="D53" i="11" s="1"/>
  <c r="D54" i="11"/>
  <c r="D56" i="11" l="1"/>
  <c r="D55" i="11"/>
  <c r="D58" i="11" l="1"/>
  <c r="K14" i="1" l="1"/>
  <c r="K15" i="1"/>
  <c r="K32" i="1" s="1"/>
  <c r="K34" i="1" s="1"/>
  <c r="K38" i="1" s="1"/>
  <c r="K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Edrington</author>
  </authors>
  <commentList>
    <comment ref="C35" authorId="0" shapeId="0" xr:uid="{7063870C-6318-4BD8-B84A-F679D6D14493}">
      <text>
        <r>
          <rPr>
            <sz val="9"/>
            <color indexed="81"/>
            <rFont val="Tahoma"/>
            <family val="2"/>
          </rPr>
          <t>Please include other administrative costs. For example, include the administrative portion of delegated administrative expenses such as Third Party Administrator (TPA) payments that cover costs such as claims processing and medical management of the TPA to the extent that these costs are not included in the above-listed items.</t>
        </r>
      </text>
    </comment>
  </commentList>
</comments>
</file>

<file path=xl/sharedStrings.xml><?xml version="1.0" encoding="utf-8"?>
<sst xmlns="http://schemas.openxmlformats.org/spreadsheetml/2006/main" count="621" uniqueCount="280">
  <si>
    <t>Medical Incentive Bonus</t>
  </si>
  <si>
    <t>Minimum MLR %</t>
  </si>
  <si>
    <t>Estimated IBNR</t>
  </si>
  <si>
    <t>MMs</t>
  </si>
  <si>
    <t>Earned Revenue for MLR/Risk Corridor</t>
  </si>
  <si>
    <t>Line</t>
  </si>
  <si>
    <t>a</t>
  </si>
  <si>
    <t>b</t>
  </si>
  <si>
    <t>c</t>
  </si>
  <si>
    <t>d</t>
  </si>
  <si>
    <t>e</t>
  </si>
  <si>
    <t>f</t>
  </si>
  <si>
    <t>g</t>
  </si>
  <si>
    <t>h</t>
  </si>
  <si>
    <t>i</t>
  </si>
  <si>
    <t>n</t>
  </si>
  <si>
    <t>m</t>
  </si>
  <si>
    <t>o</t>
  </si>
  <si>
    <t>p</t>
  </si>
  <si>
    <t>l</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</si>
  <si>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</si>
  <si>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</si>
  <si>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</si>
  <si>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</si>
  <si>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</si>
  <si>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</si>
  <si>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</si>
  <si>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</si>
  <si>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AwDC</t>
  </si>
  <si>
    <t>Total</t>
  </si>
  <si>
    <t>MLR Calculation</t>
  </si>
  <si>
    <t>Please provide any text, tables, numbers, etc. that you would like to communicate but were not able to include within the preceding reports.</t>
  </si>
  <si>
    <t>For non-applicable line items, please leave blank.</t>
  </si>
  <si>
    <t>Please provide any details surrounding allocation methodology used in completing template.</t>
  </si>
  <si>
    <t>Non Expansion Parents</t>
  </si>
  <si>
    <t>Children</t>
  </si>
  <si>
    <t>Expansion Parents</t>
  </si>
  <si>
    <t>Foster Care</t>
  </si>
  <si>
    <t>Elderly</t>
  </si>
  <si>
    <t>Disabled</t>
  </si>
  <si>
    <t>3.2 WM</t>
  </si>
  <si>
    <t>3.7 WM</t>
  </si>
  <si>
    <t>SUD Service</t>
  </si>
  <si>
    <t>SUD IP/Medical Detox</t>
  </si>
  <si>
    <t>SUD Residential</t>
  </si>
  <si>
    <t>SUD IMD</t>
  </si>
  <si>
    <t>Please note that any cells shaded in light orange are to be completed by the RAE.</t>
  </si>
  <si>
    <t>RAE Name:</t>
  </si>
  <si>
    <t>RAE</t>
  </si>
  <si>
    <t>Days by ASAM Level/SUD Service</t>
  </si>
  <si>
    <t>3.1</t>
  </si>
  <si>
    <t>3.5</t>
  </si>
  <si>
    <t>3.7</t>
  </si>
  <si>
    <t>SUD Earned Revenue Calculation</t>
  </si>
  <si>
    <t>SUD PMPMs</t>
  </si>
  <si>
    <t>Special Connections</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</si>
  <si>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</si>
  <si>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</si>
  <si>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</si>
  <si>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</si>
  <si>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</si>
  <si>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</si>
  <si>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</si>
  <si>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</si>
  <si>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</si>
  <si>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</si>
  <si>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 xml:space="preserve">Each RAE is requested to complete each report within the template to the best of its ability. </t>
  </si>
  <si>
    <t>State of Colorado - MLR/Risk Corridor Reporting Template</t>
  </si>
  <si>
    <t>RAE Scratch Sheet</t>
  </si>
  <si>
    <t>RAE:</t>
  </si>
  <si>
    <t>Dollars by ASAM Level/SUD Service</t>
  </si>
  <si>
    <t>RAE Region:</t>
  </si>
  <si>
    <t>This report will be used to assess the MLR, including risk corridor for SUD carve-in services, for the Colorado Medicaid Behavioral Health program.</t>
  </si>
  <si>
    <t>SUD IP/Med Detox</t>
  </si>
  <si>
    <t>Wght Avg</t>
  </si>
  <si>
    <t>Implied Loss Ratio 
(b / a)</t>
  </si>
  <si>
    <t>Profit/(Loss) (a - b)</t>
  </si>
  <si>
    <t>Profit/(Loss) % (c / a)</t>
  </si>
  <si>
    <t>Risk Corridor Profit/(Loss) Share</t>
  </si>
  <si>
    <t>Fraud Prevention Activities</t>
  </si>
  <si>
    <t xml:space="preserve">SFY22 SUD Risk Corridor </t>
  </si>
  <si>
    <t>Final Unit Cost</t>
  </si>
  <si>
    <t>Earned Revenue*</t>
  </si>
  <si>
    <t>Total Medical Expenses*</t>
  </si>
  <si>
    <t>f1</t>
  </si>
  <si>
    <t>5%+ Band: 0% Risk</t>
  </si>
  <si>
    <t>f2</t>
  </si>
  <si>
    <t>1%-5% Band: 50% Risk</t>
  </si>
  <si>
    <t>f3</t>
  </si>
  <si>
    <t>0%-1% Band: 100% Risk</t>
  </si>
  <si>
    <t>*Administrative expenses are removed from the SUD risk corridor calculation.</t>
  </si>
  <si>
    <t>July 1, 2022 - June 30, 2023</t>
  </si>
  <si>
    <t>Value</t>
  </si>
  <si>
    <t>Administrative Non-Claim Costs</t>
  </si>
  <si>
    <t>q</t>
  </si>
  <si>
    <t>r</t>
  </si>
  <si>
    <t>s</t>
  </si>
  <si>
    <t>SUD Risk Corridor Data</t>
  </si>
  <si>
    <t>Special Connections for July 1, 2022 through June 30, 2023:</t>
  </si>
  <si>
    <t>SFY23 Per Diems</t>
  </si>
  <si>
    <t>Service Incurral Period:</t>
  </si>
  <si>
    <t>Credibility Adjustment for Medicaid and CHIP Managed Care Plans with Rating Periods
 Beginning July 1, 2017 or Later*</t>
  </si>
  <si>
    <t>Reporting Year Member Months</t>
  </si>
  <si>
    <t>Credibility Adjustment</t>
  </si>
  <si>
    <t>&lt; 5,400</t>
  </si>
  <si>
    <t>Non-credible</t>
  </si>
  <si>
    <t>&gt;380,000</t>
  </si>
  <si>
    <t>Fully Credible</t>
  </si>
  <si>
    <t>*Adjustment applied rounded to the nearest tenth using linear interpolation. Table developed by CMS Office of the Actuary.</t>
  </si>
  <si>
    <t>Member Months Input</t>
  </si>
  <si>
    <t>Calculated Adjustment</t>
  </si>
  <si>
    <t>Please sign and return the certification statement associated with this report, which is contained in a separate document.</t>
  </si>
  <si>
    <t>Submission Certification (by RAE CEO/CFO)</t>
  </si>
  <si>
    <t>Reporting Template Contents:</t>
  </si>
  <si>
    <t>Report 1</t>
  </si>
  <si>
    <t>MLR Template</t>
  </si>
  <si>
    <t>Report 2</t>
  </si>
  <si>
    <t>MLR Quality Metrics</t>
  </si>
  <si>
    <t>Report 3</t>
  </si>
  <si>
    <t>Credibility Table</t>
  </si>
  <si>
    <t>Determines if a credibility adjustment is necessary</t>
  </si>
  <si>
    <t>Use to provide supplemental information</t>
  </si>
  <si>
    <t>Report 5</t>
  </si>
  <si>
    <t>Report 4A</t>
  </si>
  <si>
    <t>Report 4B</t>
  </si>
  <si>
    <t>SUD Risk Corridor Calculation</t>
  </si>
  <si>
    <t>Report 1. MLR Template</t>
  </si>
  <si>
    <t>Please enter the following components associated with the revenue (denominator) of the MLR calculation for each COA, to the extent they are applicable under 42 CFR 438.8:</t>
  </si>
  <si>
    <t>• Line a - Gross Capitation Payments Total Revenue: Total capitation payment revenue incurred during the contract period, inclusive of withholds to the extent they exist.</t>
  </si>
  <si>
    <t>• Line b - Contractor Withhold: Portion of the capitation payment revenue withheld during the contract period.</t>
  </si>
  <si>
    <t xml:space="preserve">• Line d - Taxes, Licensing, and Regulatory fees: Applicable taxes, licensing, and regulatory fees as defined in 42 CFR 438.8(f)(3). </t>
  </si>
  <si>
    <t xml:space="preserve">• Line e - Community Benefit Expenditures: Enter the total revenue offsetting expenditures for community benefits as a positive value. Reference 42 CFR 438.8(f)(3)(v) for additional details. </t>
  </si>
  <si>
    <t xml:space="preserve">   Please include additional details on any reported Community Benefit Expenditures in the text box below the MLR template.</t>
  </si>
  <si>
    <t>• Line g - Risk Corridor (Plan)/State Share: Any transfer of revenue as a result of a risk corridor reconciliation for the contract period.</t>
  </si>
  <si>
    <t>• Line i - Member Months: Total membership for the COA during the contract period.</t>
  </si>
  <si>
    <t>Please enter the following components associated with the medical expenditures (numerator) of the MLR calculation for each COA, to the extent they are applicable under 42 CFR 438.8:</t>
  </si>
  <si>
    <t>• Line j - Claims Incurred (Non-Subcapitations): Paid amount for covered medical services that generated a medical claim.</t>
  </si>
  <si>
    <t xml:space="preserve">   https://www.medicaid.gov/sites/default/files/Federal-Policy-Guidance/Downloads/cib051519.pdf</t>
  </si>
  <si>
    <t>• Line l - Estimated IBNR: Total estimated incurred, but not reported claims expenditures incurred during the period.</t>
  </si>
  <si>
    <t>• Line m - Indirect Claims Costs (Provider Reconciliations, Settlements, etc.): Provider reimbursement reconciliation payments incurred during the period that are settled outside of the claims/encounter system.</t>
  </si>
  <si>
    <t>• Line o - Other Allowable "Incurred Claims": This line should include any expenditures classified as "Incurred Claims" per CFR 438.8(e)(2), not included above, in lines j-n of this report.</t>
  </si>
  <si>
    <t>• Line p - Activities that Improve Health Care Quality - Salary QI Amounts: Associated salaries for health care quality expenses incurred during the period as defined in CFR 438.8(e)(3).</t>
  </si>
  <si>
    <t>• Line q - Activities that Improve Health Care Quality - Non-salary QI Amounts: Non-salary health care quality expenses incurred during the period as defined in CFR 438.8(e)(3).</t>
  </si>
  <si>
    <t xml:space="preserve">   Please include a breakout and description of each activity that is included within the HCQ lines. </t>
  </si>
  <si>
    <t>• Line r - Fraud Reduction Activities: Expenses incurred for fraud reduction, prevention and recovery activities during the period as defined in CFR 438.8(e)(4).</t>
  </si>
  <si>
    <t>• Line t - Reinsurance Recoveries: Reinsurance recoveries should be based on service date of the claim for which the recovery is made. Enter the recovery amounts as a negative value.</t>
  </si>
  <si>
    <t xml:space="preserve">• Line u - Less Related-Party Medical Margin: Fees to a related party, such as a parent/sister organization, or claims to a related party above what an unrelated party would have paid, consistent with </t>
  </si>
  <si>
    <t xml:space="preserve">   Medicare Part C reporting 42 CFR 422.516(b)(2), incurred during the period. Please enter the Related-Party Medical Margin as a negative.</t>
  </si>
  <si>
    <t>The 'Total' section will calculate automatically based on the values populated within the individual COA sections.</t>
  </si>
  <si>
    <t xml:space="preserve">If line items are not able to be filled out at the COA level please fill in the 'Total' section where applicable. </t>
  </si>
  <si>
    <t>If there is a difference in reporting between the MRT submitted to the Department and the MLR, provide an explanation and supporting documentation.</t>
  </si>
  <si>
    <t>Report 2. MLR Quality Metrics</t>
  </si>
  <si>
    <t>Please use the drop down selections (Yes/No) within this worksheet to indicate whether the plan has met the quality metrics for the reporting period.</t>
  </si>
  <si>
    <t>Report 3. Admin Non-Claim Costs</t>
  </si>
  <si>
    <t>Please use this worksheet to itemize non-claim administrative costs and provide details to substantiate the expenses.</t>
  </si>
  <si>
    <t>Determines whether a credibility adjustment is necessary for the MLR calculation based on the total membership reported across all COAs.</t>
  </si>
  <si>
    <t>• Line c - Earned Withhold: Amount of withhold earned back by the RAE.</t>
  </si>
  <si>
    <t xml:space="preserve">   Total net taxes/fees should not be negative unless total net taxes/fees increase the RAE's revenue.</t>
  </si>
  <si>
    <t xml:space="preserve">   Payments made from the RAE to the Department should be entered as a negative value. Payments from the Department to the RAE should be entered as positive.</t>
  </si>
  <si>
    <t>• Line k - Claims Incurred (Subcapitations): Paid amount for covered medical services the RAE subcapitates or delegates to a separate entity.</t>
  </si>
  <si>
    <t xml:space="preserve">   The RAE may only include reimbursement for medical expenses of third-party vendors, as clarified in the CMCS Informational Bulletin from May 15, 2019.</t>
  </si>
  <si>
    <t>• Line n - Medical Incentive Bonus: Incurred payments made by the RAE to providers and other unrelated risk sharing entities to share savings.</t>
  </si>
  <si>
    <t>Please provide certification by the RAE's CEO or CFO that the figures in this reporting template are accurate and representative of plan experience for the given time period.</t>
  </si>
  <si>
    <t>Report 5. Certification</t>
  </si>
  <si>
    <t>Any differences from the administrative expenses previously reported in the MRT should be itemized on the RAE Scratch Sheet.</t>
  </si>
  <si>
    <t xml:space="preserve">   Please provide additional supporting information on the RAE Scratch Sheet itemizing any Indirect Claims Costs.</t>
  </si>
  <si>
    <t xml:space="preserve">   The costs associated with each activity should be itemized within this template, either on Report 1 or the RAE Scratch Sheet.</t>
  </si>
  <si>
    <t>Report 4A. SUD Risk Corridor Data</t>
  </si>
  <si>
    <t>Report 4B. SUD Risk Corridor Calculation</t>
  </si>
  <si>
    <t>Please use this worksheet to report data for SUD expansion services.</t>
  </si>
  <si>
    <t>This tab calculates the results of the SUD expansion risk corridor calculation that feeds into the MLR calculation.</t>
  </si>
  <si>
    <t>Gross Capitation Payments Total Revenue</t>
  </si>
  <si>
    <t>Contractor Withhold (a * withhold %)</t>
  </si>
  <si>
    <t>Earned Withhold</t>
  </si>
  <si>
    <t>Taxes, Licensing, and Regulatory fees</t>
  </si>
  <si>
    <t>Community Benefit Expenditures</t>
  </si>
  <si>
    <t>Earned Revenue for MLR (a - b + c - d - e)</t>
  </si>
  <si>
    <t>Member Months</t>
  </si>
  <si>
    <t>MLR Metrics</t>
  </si>
  <si>
    <t xml:space="preserve">Each Quality Metric is valued as a 1% reduction to the minimum required MLR. </t>
  </si>
  <si>
    <t>The Department will evaluate the metrics when finalizing the MLR calculation.</t>
  </si>
  <si>
    <t>Metric #</t>
  </si>
  <si>
    <t>Quality Metric Description</t>
  </si>
  <si>
    <t>Met (Yes/No)</t>
  </si>
  <si>
    <t>[INSERT Quality Metric]</t>
  </si>
  <si>
    <t>Administrative Non-Claim Costs:</t>
  </si>
  <si>
    <t xml:space="preserve">Non-claim costs are a reporting requirement by CMS but they are not allowable in the MLR calculation. </t>
  </si>
  <si>
    <t>Itemize costs below consistent with the MRT submissions and provide details to substantiate the expenses.</t>
  </si>
  <si>
    <t>Per CFR 438.8(k)(iv):</t>
  </si>
  <si>
    <t>Non-claims costs means those expenses for administrative services that are not:</t>
  </si>
  <si>
    <t>Incurred claims (as defined in paragraph (2) of this section);</t>
  </si>
  <si>
    <t>expenditures on activities that improve health care quality (as defined in paragraph (e)(3) of this section);</t>
  </si>
  <si>
    <t>or licensing and regulatory fees, or Federal and State taxes (as defined in paragraph (f)(2) of this section).</t>
  </si>
  <si>
    <t>Administrative Category</t>
  </si>
  <si>
    <t>Section 1: Allowable Administrative Expenses per 45 CFR Part 75 and 42 CFR Part 413</t>
  </si>
  <si>
    <t>Corporate Salaries</t>
  </si>
  <si>
    <t>Management Salaries</t>
  </si>
  <si>
    <t>Other Salaries</t>
  </si>
  <si>
    <t>Corporate Services</t>
  </si>
  <si>
    <t>Parent Fees</t>
  </si>
  <si>
    <t>Non-Parent Administrative Service Fees</t>
  </si>
  <si>
    <t>Operation Expenses</t>
  </si>
  <si>
    <t>General Administration Costs</t>
  </si>
  <si>
    <t>Member Services</t>
  </si>
  <si>
    <t>Claim Processing</t>
  </si>
  <si>
    <t>Network Development</t>
  </si>
  <si>
    <t>Professional Services</t>
  </si>
  <si>
    <t>Non-State Plan Covered Value Added Services</t>
  </si>
  <si>
    <t>PBM Spread Pricing Value and/or Fees</t>
  </si>
  <si>
    <t>Non-Prevention Fraud Expenses</t>
  </si>
  <si>
    <t>Allowable Marketing and Advertising</t>
  </si>
  <si>
    <t>Other Admin Costs</t>
  </si>
  <si>
    <t>Reinsurance Premiums</t>
  </si>
  <si>
    <t>Community Benefit Expenditures (Not-for-Profits)</t>
  </si>
  <si>
    <t>Federal Income Taxes</t>
  </si>
  <si>
    <t>State and Local Income Taxes</t>
  </si>
  <si>
    <t>Premium Taxes</t>
  </si>
  <si>
    <t>Other Taxes, Licensing, and Regulatory Fees</t>
  </si>
  <si>
    <t>Total Allowable Administrative Expense</t>
  </si>
  <si>
    <t>Section 2: Unallowable Administrative Expenses per 45 CFR Part 75 and 42 CFR Part 413</t>
  </si>
  <si>
    <t>Bad Debt</t>
  </si>
  <si>
    <t>Contributions and Donations</t>
  </si>
  <si>
    <t>Unallowable Interest</t>
  </si>
  <si>
    <t xml:space="preserve">Lobbying </t>
  </si>
  <si>
    <t>Unallowable Marketing and Advertising</t>
  </si>
  <si>
    <t>Unallowable Related Party Costs</t>
  </si>
  <si>
    <t>Other (specify):</t>
  </si>
  <si>
    <t>Total Unallowable Administrative Expense</t>
  </si>
  <si>
    <t>Grand Total Administrative Expense (Sections 1 and 2)</t>
  </si>
  <si>
    <t>Please describe any "Other Admin Costs" in the box below:</t>
  </si>
  <si>
    <t>*Risk Corridor: (Plan)/State Share</t>
  </si>
  <si>
    <t>*Adjusted Earned Revenue for MLR (f + g)</t>
  </si>
  <si>
    <t>j</t>
  </si>
  <si>
    <t>Claims Incurred (Non-Subcapitations)</t>
  </si>
  <si>
    <t>k</t>
  </si>
  <si>
    <t>Claims Incurred (Subcapitations)</t>
  </si>
  <si>
    <t>Indirect Claims Costs (Provider Reconciliations, Settlements, etc.)</t>
  </si>
  <si>
    <t>Other Allowable "Incurred Claims"</t>
  </si>
  <si>
    <t>Activities that Improve Health Care Quality - Salary QI Amounts</t>
  </si>
  <si>
    <t>Activities that Improve Health Care Quality - Non-salary QI Amounts</t>
  </si>
  <si>
    <t>Fraud Reduction Activities</t>
  </si>
  <si>
    <t>t</t>
  </si>
  <si>
    <t>Reinsurance Recoveries (enter as negative)</t>
  </si>
  <si>
    <t>u</t>
  </si>
  <si>
    <t>Less Related-Party Medical Margin (enter as negative)</t>
  </si>
  <si>
    <t>v</t>
  </si>
  <si>
    <t>Total Medical Expenses (Net Qualified Medical Expenses)
 (j + k + l + m + n + o + p + q + r + s + t + u)</t>
  </si>
  <si>
    <t>w</t>
  </si>
  <si>
    <t>Net Qualified Medical Expenses divided by Adjusted Earned Revenue (v / h)</t>
  </si>
  <si>
    <t>x</t>
  </si>
  <si>
    <t>y</t>
  </si>
  <si>
    <t>Credibility Adjusted MLR (w + x)</t>
  </si>
  <si>
    <t>z</t>
  </si>
  <si>
    <t>aa</t>
  </si>
  <si>
    <t>MLR % Reduction (from Report 2. MLR Quality Metrics)</t>
  </si>
  <si>
    <t>ab</t>
  </si>
  <si>
    <t>Final Minimum MLR % (z - aa)</t>
  </si>
  <si>
    <t>ac</t>
  </si>
  <si>
    <t>Difference between Adjusted MLR and Final Minimum MLR (max(0, ab - y))</t>
  </si>
  <si>
    <t>ad</t>
  </si>
  <si>
    <t>MLR Reconciliation Payment (max(0, h - ((v + h*x)/ab)))</t>
  </si>
  <si>
    <t>Please describe any "Activities that Improve Healthcare Quality" in the box below, 
including what the activities are and how they improve healthcare quality:</t>
  </si>
  <si>
    <t>Please describe any "Community Benefit Expenditures" in the box below, 
including what the activities are and how they meet the requirements under 45 CFR 158.162(c):</t>
  </si>
  <si>
    <t>JAN'23</t>
  </si>
  <si>
    <t>FEB'23</t>
  </si>
  <si>
    <t>MAR'23</t>
  </si>
  <si>
    <t>APR'23</t>
  </si>
  <si>
    <t>MAY'23</t>
  </si>
  <si>
    <t>JUN'23</t>
  </si>
  <si>
    <t>JUL'22</t>
  </si>
  <si>
    <t>AUG'22</t>
  </si>
  <si>
    <t>SEP'22</t>
  </si>
  <si>
    <t>OCT'22</t>
  </si>
  <si>
    <t>NOV'22</t>
  </si>
  <si>
    <t>DEC'22</t>
  </si>
  <si>
    <t>Yes</t>
  </si>
  <si>
    <t xml:space="preserve">• Line s - Reinsurance Premiums: Reinsurance premiums should be based on date of payment. </t>
  </si>
  <si>
    <t>Colorado Access</t>
  </si>
  <si>
    <t>Region 3</t>
  </si>
  <si>
    <t>For detail on the Activitites that Improve Healthcare Quality, refer to supplemental document sent with MLR (COA QIA Template_BH_SFY23).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</si>
</sst>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 numFmtId="168" formatCode="_(* #,##0.0_);_(* \(#,##0.0\);_(* &quot;-&quot;??_);_(@_)"/>
    <numFmt numFmtId="169" formatCode="0.000%"/>
  </numFmts>
  <fonts count="26"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1"/>
      <name val="Calibri"/>
      <family val="2"/>
      <scheme val="minor"/>
    </font>
    <font>
      <i/>
      <sz val="9"/>
      <color theme="1"/>
      <name val="Calibri"/>
      <family val="2"/>
      <scheme val="minor"/>
    </font>
    <font>
      <b/>
      <u/>
      <sz val="10"/>
      <color theme="1"/>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u/>
      <sz val="10"/>
      <name val="Calibri"/>
      <family val="2"/>
      <scheme val="minor"/>
    </font>
    <font>
      <u/>
      <sz val="10"/>
      <color rgb="FF000000"/>
      <name val="Calibri"/>
      <family val="2"/>
      <scheme val="minor"/>
    </font>
    <font>
      <u/>
      <sz val="10"/>
      <color theme="1"/>
      <name val="Calibri"/>
      <family val="2"/>
      <scheme val="minor"/>
    </font>
    <font>
      <sz val="9"/>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D9D9D9"/>
        <bgColor indexed="64"/>
      </patternFill>
    </fill>
    <fill>
      <patternFill patternType="solid">
        <fgColor theme="7"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2">
    <xf numFmtId="0" fontId="0" fillId="0" borderId="0" xfId="0"/>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5"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5" fillId="0" borderId="10" xfId="0" quotePrefix="1" applyFont="1" applyBorder="1" applyAlignment="1">
      <alignment horizontal="left"/>
    </xf>
    <xf numFmtId="0" fontId="5" fillId="0" borderId="1" xfId="0" applyFont="1" applyBorder="1" applyAlignment="1">
      <alignment horizontal="left"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43" fontId="4" fillId="2" borderId="1" xfId="3" applyFont="1" applyFill="1" applyBorder="1"/>
    <xf numFmtId="0" fontId="3" fillId="0" borderId="4" xfId="0" quotePrefix="1" applyFont="1" applyBorder="1" applyAlignment="1">
      <alignment horizontal="left"/>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4" borderId="1" xfId="0" applyFont="1" applyFill="1" applyBorder="1" applyAlignment="1">
      <alignment horizontal="centerContinuous"/>
    </xf>
    <xf numFmtId="0" fontId="3" fillId="6" borderId="1" xfId="0" applyFont="1" applyFill="1" applyBorder="1" applyAlignment="1">
      <alignment horizontal="center"/>
    </xf>
    <xf numFmtId="0" fontId="13" fillId="6" borderId="21" xfId="0" applyFont="1" applyFill="1" applyBorder="1" applyAlignment="1">
      <alignment horizontal="centerContinuous"/>
    </xf>
    <xf numFmtId="0" fontId="4" fillId="6" borderId="22" xfId="0" applyFont="1" applyFill="1" applyBorder="1" applyAlignment="1">
      <alignment horizontal="centerContinuous"/>
    </xf>
    <xf numFmtId="0" fontId="4" fillId="6" borderId="23" xfId="0" applyFont="1" applyFill="1" applyBorder="1" applyAlignment="1">
      <alignment horizontal="centerContinuous"/>
    </xf>
    <xf numFmtId="0" fontId="13" fillId="0" borderId="0" xfId="0" applyFont="1"/>
    <xf numFmtId="0" fontId="3" fillId="0" borderId="0" xfId="0" applyFont="1"/>
    <xf numFmtId="0" fontId="10"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15" fillId="0" borderId="0" xfId="0" applyFont="1"/>
    <xf numFmtId="0" fontId="15" fillId="0" borderId="0" xfId="0" quotePrefix="1" applyFont="1" applyAlignment="1">
      <alignment horizontal="left"/>
    </xf>
    <xf numFmtId="0" fontId="12"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6"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167" fontId="4" fillId="0" borderId="12" xfId="0" applyNumberFormat="1" applyFont="1" applyBorder="1" applyAlignment="1">
      <alignment horizontal="left"/>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0" fontId="3" fillId="6" borderId="1" xfId="0" applyFont="1" applyFill="1" applyBorder="1" applyAlignment="1">
      <alignment vertical="center"/>
    </xf>
    <xf numFmtId="0" fontId="3" fillId="6" borderId="1" xfId="0" applyFont="1" applyFill="1" applyBorder="1" applyAlignment="1">
      <alignment horizontal="centerContinuous" vertical="center"/>
    </xf>
    <xf numFmtId="166" fontId="16" fillId="0" borderId="1" xfId="3" applyNumberFormat="1" applyFont="1" applyFill="1" applyBorder="1"/>
    <xf numFmtId="0" fontId="11" fillId="4"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6"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1" fillId="5"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4" fillId="0" borderId="1" xfId="0" applyFont="1" applyBorder="1"/>
    <xf numFmtId="0" fontId="17" fillId="0" borderId="0" xfId="0" applyFont="1"/>
    <xf numFmtId="44" fontId="3" fillId="0" borderId="3" xfId="1" applyFont="1" applyFill="1" applyBorder="1"/>
    <xf numFmtId="0" fontId="4" fillId="0" borderId="9" xfId="0" quotePrefix="1" applyFont="1" applyBorder="1" applyAlignment="1">
      <alignment horizontal="left"/>
    </xf>
    <xf numFmtId="0" fontId="4" fillId="0" borderId="1" xfId="0" quotePrefix="1" applyFont="1" applyBorder="1" applyAlignment="1">
      <alignment horizontal="left"/>
    </xf>
    <xf numFmtId="0" fontId="2" fillId="3" borderId="1" xfId="0" quotePrefix="1" applyFont="1" applyFill="1" applyBorder="1" applyAlignment="1">
      <alignment horizontal="centerContinuous"/>
    </xf>
    <xf numFmtId="0" fontId="8" fillId="0" borderId="0" xfId="0" quotePrefix="1" applyFont="1" applyAlignment="1">
      <alignment horizontal="left"/>
    </xf>
    <xf numFmtId="0" fontId="9" fillId="0" borderId="0" xfId="0" applyFont="1"/>
    <xf numFmtId="0" fontId="3" fillId="0" borderId="0" xfId="0" applyFont="1" applyAlignment="1">
      <alignment horizontal="left"/>
    </xf>
    <xf numFmtId="0" fontId="4" fillId="0" borderId="0" xfId="0" applyFont="1" applyAlignment="1">
      <alignment horizontal="left"/>
    </xf>
    <xf numFmtId="0" fontId="18" fillId="3" borderId="1" xfId="0" applyFont="1" applyFill="1" applyBorder="1" applyAlignment="1">
      <alignment horizontal="center" vertical="top" wrapText="1"/>
    </xf>
    <xf numFmtId="166" fontId="4" fillId="0" borderId="0" xfId="3" applyNumberFormat="1" applyFont="1"/>
    <xf numFmtId="0" fontId="4" fillId="0" borderId="1" xfId="0" applyFont="1" applyBorder="1" applyAlignment="1">
      <alignment horizontal="center" vertical="top" wrapText="1"/>
    </xf>
    <xf numFmtId="166" fontId="4" fillId="0" borderId="0" xfId="0" applyNumberFormat="1" applyFont="1"/>
    <xf numFmtId="3" fontId="4" fillId="0" borderId="1" xfId="0" applyNumberFormat="1" applyFont="1" applyBorder="1" applyAlignment="1">
      <alignment horizontal="center" vertical="top" wrapText="1"/>
    </xf>
    <xf numFmtId="10" fontId="4" fillId="0" borderId="1" xfId="0" applyNumberFormat="1" applyFont="1" applyBorder="1" applyAlignment="1">
      <alignment horizontal="center" vertical="top" wrapText="1"/>
    </xf>
    <xf numFmtId="3" fontId="4" fillId="0" borderId="0" xfId="0" applyNumberFormat="1" applyFont="1"/>
    <xf numFmtId="10" fontId="4" fillId="0" borderId="0" xfId="2" applyNumberFormat="1" applyFont="1"/>
    <xf numFmtId="10" fontId="4" fillId="0" borderId="0" xfId="0" applyNumberFormat="1" applyFont="1"/>
    <xf numFmtId="0" fontId="18" fillId="0" borderId="5" xfId="0" applyFont="1" applyBorder="1" applyAlignment="1">
      <alignment horizontal="center"/>
    </xf>
    <xf numFmtId="0" fontId="18" fillId="0" borderId="7" xfId="0" applyFont="1" applyBorder="1" applyAlignment="1">
      <alignment horizontal="center"/>
    </xf>
    <xf numFmtId="0" fontId="3" fillId="0" borderId="0" xfId="0" applyFont="1" applyAlignment="1">
      <alignment horizontal="center"/>
    </xf>
    <xf numFmtId="169" fontId="4" fillId="0" borderId="0" xfId="2" applyNumberFormat="1" applyFont="1"/>
    <xf numFmtId="169" fontId="4" fillId="0" borderId="0" xfId="0" applyNumberFormat="1" applyFont="1"/>
    <xf numFmtId="43" fontId="4" fillId="0" borderId="0" xfId="3" applyFont="1"/>
    <xf numFmtId="0" fontId="4" fillId="0" borderId="0" xfId="0" applyFont="1" applyProtection="1">
      <protection locked="0"/>
    </xf>
    <xf numFmtId="0" fontId="19" fillId="8" borderId="1" xfId="0" applyFont="1" applyFill="1" applyBorder="1" applyAlignment="1">
      <alignment horizontal="centerContinuous"/>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8" xfId="0" applyFont="1" applyBorder="1" applyAlignment="1">
      <alignment horizontal="left"/>
    </xf>
    <xf numFmtId="0" fontId="20" fillId="0" borderId="5" xfId="0" applyFont="1" applyBorder="1"/>
    <xf numFmtId="0" fontId="21" fillId="0" borderId="6" xfId="0" applyFont="1" applyBorder="1"/>
    <xf numFmtId="0" fontId="21" fillId="0" borderId="7" xfId="0" applyFont="1" applyBorder="1"/>
    <xf numFmtId="0" fontId="22" fillId="0" borderId="8" xfId="0" applyFont="1" applyBorder="1"/>
    <xf numFmtId="0" fontId="23" fillId="0" borderId="0" xfId="0" applyFont="1"/>
    <xf numFmtId="0" fontId="21" fillId="0" borderId="0" xfId="0" applyFont="1"/>
    <xf numFmtId="0" fontId="21" fillId="0" borderId="9" xfId="0" applyFont="1" applyBorder="1"/>
    <xf numFmtId="0" fontId="6" fillId="0" borderId="0" xfId="0" applyFont="1"/>
    <xf numFmtId="0" fontId="5" fillId="0" borderId="8" xfId="0" quotePrefix="1" applyFont="1" applyBorder="1"/>
    <xf numFmtId="0" fontId="21" fillId="0" borderId="8" xfId="0" applyFont="1" applyBorder="1"/>
    <xf numFmtId="0" fontId="23" fillId="0" borderId="8" xfId="0" applyFont="1" applyBorder="1"/>
    <xf numFmtId="0" fontId="21" fillId="0" borderId="8" xfId="0" quotePrefix="1" applyFont="1" applyBorder="1" applyAlignment="1">
      <alignment horizontal="left"/>
    </xf>
    <xf numFmtId="0" fontId="20" fillId="0" borderId="8" xfId="0" quotePrefix="1" applyFont="1" applyBorder="1" applyAlignment="1">
      <alignment horizontal="left"/>
    </xf>
    <xf numFmtId="0" fontId="21" fillId="0" borderId="10" xfId="0" applyFont="1" applyBorder="1"/>
    <xf numFmtId="0" fontId="21" fillId="0" borderId="11" xfId="0" applyFont="1" applyBorder="1"/>
    <xf numFmtId="0" fontId="21" fillId="0" borderId="12" xfId="0" applyFont="1" applyBorder="1"/>
    <xf numFmtId="0" fontId="4" fillId="0" borderId="3" xfId="0" quotePrefix="1" applyFont="1" applyBorder="1" applyAlignment="1">
      <alignment horizontal="left"/>
    </xf>
    <xf numFmtId="44" fontId="3" fillId="7" borderId="4" xfId="0" applyNumberFormat="1" applyFont="1" applyFill="1" applyBorder="1"/>
    <xf numFmtId="44" fontId="4" fillId="7" borderId="1" xfId="0" applyNumberFormat="1" applyFont="1" applyFill="1" applyBorder="1"/>
    <xf numFmtId="0" fontId="4" fillId="0" borderId="0" xfId="0"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19" fillId="8" borderId="1" xfId="0" applyFont="1" applyFill="1" applyBorder="1" applyAlignment="1">
      <alignment horizontal="center" wrapText="1"/>
    </xf>
    <xf numFmtId="0" fontId="19" fillId="8" borderId="1" xfId="0" applyFont="1" applyFill="1" applyBorder="1" applyAlignment="1">
      <alignment wrapText="1"/>
    </xf>
    <xf numFmtId="0" fontId="4" fillId="0" borderId="1" xfId="0" applyFont="1" applyBorder="1" applyAlignment="1">
      <alignment horizontal="center" vertical="center"/>
    </xf>
    <xf numFmtId="0" fontId="6" fillId="0" borderId="21" xfId="0" applyFont="1" applyBorder="1" applyAlignment="1">
      <alignment horizontal="left" vertical="center" wrapText="1"/>
    </xf>
    <xf numFmtId="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wrapText="1"/>
    </xf>
    <xf numFmtId="0" fontId="4" fillId="0" borderId="5" xfId="0" applyFont="1" applyBorder="1"/>
    <xf numFmtId="0" fontId="15" fillId="0" borderId="6" xfId="0" applyFont="1" applyBorder="1" applyAlignment="1">
      <alignment horizontal="center"/>
    </xf>
    <xf numFmtId="0" fontId="4" fillId="0" borderId="7" xfId="0" applyFont="1" applyBorder="1"/>
    <xf numFmtId="0" fontId="4" fillId="0" borderId="8" xfId="0" applyFont="1" applyBorder="1"/>
    <xf numFmtId="0" fontId="4" fillId="0" borderId="9" xfId="0" applyFont="1" applyBorder="1"/>
    <xf numFmtId="0" fontId="24" fillId="0" borderId="8" xfId="0" applyFont="1" applyBorder="1"/>
    <xf numFmtId="0" fontId="4" fillId="0" borderId="10" xfId="0" applyFont="1" applyBorder="1"/>
    <xf numFmtId="0" fontId="4" fillId="0" borderId="11" xfId="0" applyFont="1" applyBorder="1" applyAlignment="1">
      <alignment horizontal="center"/>
    </xf>
    <xf numFmtId="0" fontId="4" fillId="0" borderId="12" xfId="0" applyFont="1" applyBorder="1"/>
    <xf numFmtId="0" fontId="3" fillId="8" borderId="1" xfId="0" applyFont="1" applyFill="1" applyBorder="1" applyAlignment="1">
      <alignment horizontal="centerContinuous"/>
    </xf>
    <xf numFmtId="0" fontId="4" fillId="8" borderId="1" xfId="0" applyFont="1" applyFill="1" applyBorder="1" applyAlignment="1">
      <alignment horizontal="centerContinuous"/>
    </xf>
    <xf numFmtId="44" fontId="4" fillId="8" borderId="1" xfId="1" applyFont="1" applyFill="1" applyBorder="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5" fontId="4" fillId="2" borderId="1" xfId="1" applyNumberFormat="1" applyFont="1" applyFill="1" applyBorder="1" applyAlignment="1">
      <alignment horizontal="left"/>
    </xf>
    <xf numFmtId="165" fontId="4" fillId="2" borderId="1" xfId="0" applyNumberFormat="1" applyFont="1" applyFill="1" applyBorder="1" applyAlignment="1">
      <alignment horizontal="left"/>
    </xf>
    <xf numFmtId="0" fontId="4" fillId="0" borderId="3" xfId="0" applyFont="1" applyBorder="1" applyAlignment="1">
      <alignment horizontal="center"/>
    </xf>
    <xf numFmtId="0" fontId="4" fillId="0" borderId="3" xfId="0" applyFont="1" applyBorder="1" applyAlignment="1">
      <alignment horizontal="left"/>
    </xf>
    <xf numFmtId="165" fontId="4" fillId="2" borderId="3" xfId="0" applyNumberFormat="1" applyFont="1" applyFill="1" applyBorder="1" applyAlignment="1">
      <alignment horizontal="left"/>
    </xf>
    <xf numFmtId="0" fontId="3" fillId="0" borderId="25" xfId="0" applyFont="1" applyBorder="1" applyAlignment="1">
      <alignment horizontal="left"/>
    </xf>
    <xf numFmtId="165" fontId="3" fillId="0" borderId="25" xfId="0" applyNumberFormat="1" applyFont="1" applyBorder="1" applyAlignment="1">
      <alignment horizontal="left"/>
    </xf>
    <xf numFmtId="165" fontId="4" fillId="0" borderId="0" xfId="0" applyNumberFormat="1" applyFont="1" applyAlignment="1">
      <alignment horizontal="left"/>
    </xf>
    <xf numFmtId="165" fontId="3" fillId="8" borderId="1" xfId="0" applyNumberFormat="1" applyFont="1" applyFill="1" applyBorder="1" applyAlignment="1">
      <alignment horizontal="centerContinuous"/>
    </xf>
    <xf numFmtId="0" fontId="4" fillId="2" borderId="1" xfId="0" applyFont="1" applyFill="1" applyBorder="1" applyAlignment="1">
      <alignment horizontal="left"/>
    </xf>
    <xf numFmtId="0" fontId="4" fillId="2" borderId="3" xfId="0" applyFont="1" applyFill="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xf>
    <xf numFmtId="0" fontId="3" fillId="0" borderId="1" xfId="0" applyFont="1" applyBorder="1" applyAlignment="1">
      <alignment horizontal="center"/>
    </xf>
    <xf numFmtId="164" fontId="4" fillId="5" borderId="2" xfId="2" applyNumberFormat="1" applyFont="1" applyFill="1" applyBorder="1" applyAlignment="1">
      <alignment vertical="center"/>
    </xf>
    <xf numFmtId="164" fontId="5" fillId="0" borderId="2" xfId="2" applyNumberFormat="1" applyFont="1" applyFill="1" applyBorder="1" applyAlignment="1">
      <alignment vertical="center"/>
    </xf>
    <xf numFmtId="164" fontId="5" fillId="0" borderId="2" xfId="2" applyNumberFormat="1" applyFont="1" applyBorder="1" applyAlignment="1">
      <alignment vertical="center"/>
    </xf>
    <xf numFmtId="164" fontId="5" fillId="0" borderId="2" xfId="0" applyNumberFormat="1" applyFont="1" applyBorder="1" applyAlignment="1">
      <alignment vertical="center"/>
    </xf>
    <xf numFmtId="0" fontId="4" fillId="0" borderId="24" xfId="0" applyFont="1" applyBorder="1" applyAlignment="1">
      <alignment horizontal="center" vertical="center" wrapText="1"/>
    </xf>
    <xf numFmtId="0" fontId="5" fillId="0" borderId="3" xfId="0" applyFont="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left" vertical="center" wrapText="1"/>
    </xf>
    <xf numFmtId="165" fontId="3" fillId="5" borderId="4" xfId="1" applyNumberFormat="1" applyFont="1" applyFill="1" applyBorder="1" applyAlignment="1">
      <alignment vertical="center"/>
    </xf>
    <xf numFmtId="164" fontId="4" fillId="7" borderId="2" xfId="2" applyNumberFormat="1" applyFont="1" applyFill="1" applyBorder="1" applyAlignment="1">
      <alignment vertical="center"/>
    </xf>
    <xf numFmtId="0" fontId="2" fillId="3" borderId="21" xfId="0" applyFont="1" applyFill="1" applyBorder="1" applyAlignment="1">
      <alignment horizontal="centerContinuous" wrapText="1"/>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4" fontId="3" fillId="0" borderId="12" xfId="0" applyNumberFormat="1" applyFont="1" applyBorder="1" applyAlignment="1">
      <alignment horizontal="center"/>
    </xf>
    <xf numFmtId="44" fontId="4" fillId="9" borderId="1" xfId="1" applyFont="1" applyFill="1" applyBorder="1"/>
    <xf numFmtId="44" fontId="16" fillId="9" borderId="1" xfId="1" applyFont="1" applyFill="1" applyBorder="1"/>
    <xf numFmtId="0" fontId="3" fillId="5" borderId="1" xfId="0" applyFont="1" applyFill="1" applyBorder="1" applyAlignment="1">
      <alignment horizontal="center" vertical="center" wrapText="1"/>
    </xf>
    <xf numFmtId="44" fontId="4" fillId="5" borderId="1" xfId="0" applyNumberFormat="1" applyFont="1" applyFill="1" applyBorder="1"/>
    <xf numFmtId="168" fontId="4" fillId="5" borderId="3" xfId="3" applyNumberFormat="1" applyFont="1" applyFill="1" applyBorder="1"/>
    <xf numFmtId="44" fontId="3" fillId="5" borderId="4" xfId="0" applyNumberFormat="1" applyFont="1" applyFill="1" applyBorder="1"/>
    <xf numFmtId="164" fontId="4" fillId="5" borderId="1" xfId="2" applyNumberFormat="1" applyFont="1" applyFill="1" applyBorder="1" applyAlignment="1">
      <alignment vertical="center"/>
    </xf>
    <xf numFmtId="164" fontId="5" fillId="5" borderId="2" xfId="2" applyNumberFormat="1" applyFont="1" applyFill="1" applyBorder="1" applyAlignment="1">
      <alignment vertical="center"/>
    </xf>
    <xf numFmtId="164" fontId="5" fillId="5" borderId="2" xfId="0" applyNumberFormat="1" applyFont="1" applyFill="1" applyBorder="1" applyAlignment="1">
      <alignment vertical="center"/>
    </xf>
    <xf numFmtId="164" fontId="4" fillId="5" borderId="3" xfId="2" applyNumberFormat="1" applyFont="1" applyFill="1" applyBorder="1" applyAlignment="1">
      <alignment vertical="center"/>
    </xf>
    <xf numFmtId="166" fontId="3" fillId="0" borderId="10" xfId="3" applyNumberFormat="1" applyFont="1" applyBorder="1" applyAlignment="1">
      <alignment vertical="center"/>
    </xf>
    <xf numFmtId="165" fontId="3" fillId="7" borderId="4" xfId="1" applyNumberFormat="1" applyFont="1" applyFill="1" applyBorder="1" applyAlignment="1">
      <alignment horizontal="left" vertical="center"/>
    </xf>
    <xf numFmtId="44" fontId="4" fillId="7" borderId="3" xfId="3" applyNumberFormat="1" applyFont="1" applyFill="1" applyBorder="1"/>
    <xf numFmtId="166" fontId="4" fillId="2" borderId="1" xfId="3" applyNumberFormat="1" applyFont="1" applyFill="1" applyBorder="1"/>
    <xf numFmtId="166" fontId="4" fillId="7" borderId="1" xfId="3" applyNumberFormat="1" applyFont="1" applyFill="1" applyBorder="1"/>
    <xf numFmtId="44" fontId="0" fillId="0" borderId="0" xfId="0" applyNumberFormat="1"/>
    <xf numFmtId="0" fontId="5" fillId="2" borderId="1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L:\ACCT\HCPF%20Rate%20Documents\RAE\Behavioral%20Health\MRT\SFY%202023\Submission\FY23%20CO%20RAE%20BH%20MRT%20as%20of%2011.3.2023_RAE%203_Submission_12.22.2023.xlsx" TargetMode="External"/><Relationship Id="rId1" Type="http://schemas.openxmlformats.org/officeDocument/2006/relationships/externalLinkPath" Target="/ACCT/HCPF%20Rate%20Documents/RAE/Behavioral%20Health/MRT/SFY%202023/Submission/FY23%20CO%20RAE%20BH%20MRT%20as%20of%2011.3.2023_RAE%203_Submission_12.22.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ACCT\HCPF%20Rate%20Documents\RAE\Behavioral%20Health\MLR\SFY%202023\SFY23%20BH%20MLR_Support.xlsx" TargetMode="External"/><Relationship Id="rId1" Type="http://schemas.openxmlformats.org/officeDocument/2006/relationships/externalLinkPath" Target="SFY23%20BH%20MLR_Support.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L:\ACCT\HCPF%20Rate%20Documents\RAE\Behavioral%20Health\MLR\SFY%202023\SFY23%20BH%20MLR_Support%20v2.xlsx" TargetMode="External"/><Relationship Id="rId1" Type="http://schemas.openxmlformats.org/officeDocument/2006/relationships/externalLinkPath" Target="SFY23%20BH%20MLR_Support%20v2.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L:\ACCT\Finance%20Team\Closing%20Entries\SUD%20Risk%20Corridor\SFY23\SUD%20Risk%20Corridor_SFY23_%20All%20Regions_12.23%20-YE.xlsx" TargetMode="External"/><Relationship Id="rId1" Type="http://schemas.openxmlformats.org/officeDocument/2006/relationships/externalLinkPath" Target="/ACCT/Finance%20Team/Closing%20Entries/SUD%20Risk%20Corridor/SFY23/SUD%20Risk%20Corridor_SFY23_%20All%20Regions_12.23%20-Y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Checklist"/>
      <sheetName val="COS Hierarchy"/>
      <sheetName val="COA Hierarchy"/>
      <sheetName val="1. Enrollment"/>
      <sheetName val="2A. Costs Net TPL"/>
      <sheetName val="2B. Costs Gross TPL"/>
      <sheetName val="3. Util."/>
      <sheetName val="4a. Lag Triangles"/>
      <sheetName val="4B. IBNR Estimates"/>
      <sheetName val="5A. Reinsurance Contract"/>
      <sheetName val="5B. Reinsurance Recov"/>
      <sheetName val="6A. Incent &amp; Prov Pmts "/>
      <sheetName val="6B. Incent &amp; Prov Alloc"/>
      <sheetName val="7. Administrative "/>
      <sheetName val="8A. Revenue Triangles"/>
      <sheetName val="8B. Recoupment Triangle"/>
      <sheetName val="8C. Revenue Summary"/>
      <sheetName val="9. Incurred Overview "/>
      <sheetName val="10. Certification"/>
      <sheetName val="RAE Scratch Sheet"/>
    </sheetNames>
    <sheetDataSet>
      <sheetData sheetId="0">
        <row r="16">
          <cell r="C16" t="str">
            <v>SFY23 Q1</v>
          </cell>
        </row>
      </sheetData>
      <sheetData sheetId="1"/>
      <sheetData sheetId="2"/>
      <sheetData sheetId="3"/>
      <sheetData sheetId="4"/>
      <sheetData sheetId="5"/>
      <sheetData sheetId="6"/>
      <sheetData sheetId="7"/>
      <sheetData sheetId="8"/>
      <sheetData sheetId="9">
        <row r="13">
          <cell r="C13">
            <v>104051</v>
          </cell>
        </row>
      </sheetData>
      <sheetData sheetId="10"/>
      <sheetData sheetId="11"/>
      <sheetData sheetId="12"/>
      <sheetData sheetId="13"/>
      <sheetData sheetId="14">
        <row r="9">
          <cell r="H9">
            <v>10381499.492369436</v>
          </cell>
        </row>
        <row r="10">
          <cell r="H10">
            <v>0</v>
          </cell>
        </row>
        <row r="11">
          <cell r="H11">
            <v>0</v>
          </cell>
        </row>
        <row r="12">
          <cell r="H12">
            <v>0</v>
          </cell>
        </row>
        <row r="13">
          <cell r="H13">
            <v>0</v>
          </cell>
        </row>
        <row r="14">
          <cell r="H14">
            <v>0</v>
          </cell>
        </row>
        <row r="15">
          <cell r="H15">
            <v>1521540.8536715666</v>
          </cell>
        </row>
        <row r="16">
          <cell r="H16">
            <v>1587884.0299192346</v>
          </cell>
        </row>
        <row r="17">
          <cell r="H17">
            <v>0</v>
          </cell>
        </row>
        <row r="18">
          <cell r="H18">
            <v>5274743.9389671767</v>
          </cell>
        </row>
        <row r="19">
          <cell r="H19">
            <v>10304.083401007723</v>
          </cell>
        </row>
        <row r="20">
          <cell r="H20">
            <v>869718.01344522438</v>
          </cell>
        </row>
        <row r="21">
          <cell r="H21">
            <v>0</v>
          </cell>
        </row>
        <row r="22">
          <cell r="H22">
            <v>0</v>
          </cell>
        </row>
        <row r="23">
          <cell r="H23">
            <v>126153.67103615057</v>
          </cell>
        </row>
        <row r="24">
          <cell r="H24">
            <v>1618193.2438256831</v>
          </cell>
        </row>
        <row r="25">
          <cell r="H25">
            <v>0</v>
          </cell>
        </row>
        <row r="26">
          <cell r="H26">
            <v>0</v>
          </cell>
        </row>
        <row r="27">
          <cell r="H27">
            <v>0</v>
          </cell>
        </row>
        <row r="28">
          <cell r="H28">
            <v>0</v>
          </cell>
        </row>
        <row r="29">
          <cell r="H29">
            <v>0</v>
          </cell>
        </row>
        <row r="30">
          <cell r="H30">
            <v>0</v>
          </cell>
        </row>
        <row r="31">
          <cell r="H31">
            <v>0</v>
          </cell>
        </row>
        <row r="36">
          <cell r="H36">
            <v>0</v>
          </cell>
        </row>
        <row r="37">
          <cell r="H37">
            <v>287045.68</v>
          </cell>
        </row>
        <row r="38">
          <cell r="H38">
            <v>6848.9699999999993</v>
          </cell>
        </row>
        <row r="39">
          <cell r="H39">
            <v>21523.732874041816</v>
          </cell>
        </row>
        <row r="40">
          <cell r="H40">
            <v>207.93679602873638</v>
          </cell>
        </row>
        <row r="41">
          <cell r="H41">
            <v>0</v>
          </cell>
        </row>
        <row r="42">
          <cell r="H42">
            <v>0</v>
          </cell>
        </row>
        <row r="43">
          <cell r="H43">
            <v>0</v>
          </cell>
        </row>
      </sheetData>
      <sheetData sheetId="15"/>
      <sheetData sheetId="16"/>
      <sheetData sheetId="17">
        <row r="9">
          <cell r="O9">
            <v>43417820.160000004</v>
          </cell>
          <cell r="P9">
            <v>609839.99999999814</v>
          </cell>
          <cell r="Q9">
            <v>-909242.4</v>
          </cell>
        </row>
        <row r="10">
          <cell r="O10">
            <v>58293504.870000005</v>
          </cell>
          <cell r="P10">
            <v>56380.699999999255</v>
          </cell>
          <cell r="Q10">
            <v>-90600.200000000012</v>
          </cell>
        </row>
        <row r="11">
          <cell r="O11">
            <v>107457376.41999999</v>
          </cell>
          <cell r="P11">
            <v>440897.95999999717</v>
          </cell>
          <cell r="Q11">
            <v>-1012280.7600000001</v>
          </cell>
        </row>
        <row r="12">
          <cell r="O12">
            <v>9969006.8399999999</v>
          </cell>
          <cell r="P12">
            <v>227622.72000000067</v>
          </cell>
          <cell r="Q12">
            <v>-571245.48</v>
          </cell>
        </row>
        <row r="13">
          <cell r="O13">
            <v>9429129.0199999996</v>
          </cell>
          <cell r="P13">
            <v>26588.339999999851</v>
          </cell>
          <cell r="Q13">
            <v>-73161.38</v>
          </cell>
        </row>
        <row r="14">
          <cell r="O14">
            <v>2462605.92</v>
          </cell>
          <cell r="P14">
            <v>4145.1699999999255</v>
          </cell>
          <cell r="Q14">
            <v>-33203.020000000004</v>
          </cell>
        </row>
        <row r="15">
          <cell r="O15">
            <v>31764097.259999998</v>
          </cell>
          <cell r="P15">
            <v>131182.32000000123</v>
          </cell>
          <cell r="Q15">
            <v>-33203.020000000004</v>
          </cell>
        </row>
      </sheetData>
      <sheetData sheetId="18">
        <row r="17">
          <cell r="L17">
            <v>-18834384.584487174</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
      <sheetName val="J &amp; L"/>
      <sheetName val="M"/>
      <sheetName val="P &amp; Q"/>
    </sheetNames>
    <sheetDataSet>
      <sheetData sheetId="0">
        <row r="6">
          <cell r="G6">
            <v>742397</v>
          </cell>
        </row>
        <row r="7">
          <cell r="G7">
            <v>1787643</v>
          </cell>
        </row>
        <row r="8">
          <cell r="G8">
            <v>1305705</v>
          </cell>
        </row>
        <row r="9">
          <cell r="G9">
            <v>268266</v>
          </cell>
        </row>
        <row r="10">
          <cell r="G10">
            <v>53991</v>
          </cell>
        </row>
        <row r="11">
          <cell r="G11">
            <v>116829</v>
          </cell>
        </row>
        <row r="12">
          <cell r="G12">
            <v>231021</v>
          </cell>
        </row>
      </sheetData>
      <sheetData sheetId="1">
        <row r="6">
          <cell r="G6">
            <v>27746792.600000199</v>
          </cell>
        </row>
        <row r="7">
          <cell r="G7">
            <v>49519762.469998889</v>
          </cell>
        </row>
        <row r="8">
          <cell r="G8">
            <v>75565072.809999749</v>
          </cell>
        </row>
        <row r="9">
          <cell r="G9">
            <v>6578634.3199999928</v>
          </cell>
        </row>
        <row r="10">
          <cell r="G10">
            <v>8960934.9099999927</v>
          </cell>
        </row>
        <row r="11">
          <cell r="G11">
            <v>1976974.9</v>
          </cell>
        </row>
        <row r="12">
          <cell r="G12">
            <v>29279327.840000134</v>
          </cell>
        </row>
      </sheetData>
      <sheetData sheetId="2">
        <row r="9">
          <cell r="G9">
            <v>1393025.0193297782</v>
          </cell>
        </row>
        <row r="10">
          <cell r="G10">
            <v>2486134.8504827088</v>
          </cell>
        </row>
        <row r="11">
          <cell r="G11">
            <v>3793737.118711344</v>
          </cell>
        </row>
        <row r="12">
          <cell r="G12">
            <v>330279.69513065321</v>
          </cell>
        </row>
        <row r="13">
          <cell r="G13">
            <v>449882.86416266841</v>
          </cell>
        </row>
        <row r="14">
          <cell r="G14">
            <v>99253.832253280547</v>
          </cell>
        </row>
        <row r="15">
          <cell r="G15">
            <v>1469965.801751039</v>
          </cell>
        </row>
      </sheetData>
      <sheetData sheetId="3">
        <row r="5">
          <cell r="G5">
            <v>283317.88987913751</v>
          </cell>
        </row>
        <row r="6">
          <cell r="G6">
            <v>505638.06824706978</v>
          </cell>
        </row>
        <row r="7">
          <cell r="G7">
            <v>771582.40542340605</v>
          </cell>
        </row>
        <row r="8">
          <cell r="G8">
            <v>67173.342184020905</v>
          </cell>
        </row>
        <row r="9">
          <cell r="G9">
            <v>91498.617755389801</v>
          </cell>
        </row>
        <row r="10">
          <cell r="G10">
            <v>20186.562284392279</v>
          </cell>
        </row>
        <row r="11">
          <cell r="G11">
            <v>298966.35262658296</v>
          </cell>
        </row>
        <row r="15">
          <cell r="G15">
            <v>124850.07325950937</v>
          </cell>
        </row>
        <row r="16">
          <cell r="G16">
            <v>222820.20344840939</v>
          </cell>
        </row>
        <row r="17">
          <cell r="G17">
            <v>340014.25001420028</v>
          </cell>
        </row>
        <row r="18">
          <cell r="G18">
            <v>29601.366494501272</v>
          </cell>
        </row>
        <row r="19">
          <cell r="G19">
            <v>40320.818197458473</v>
          </cell>
        </row>
        <row r="20">
          <cell r="G20">
            <v>8895.6393863415196</v>
          </cell>
        </row>
        <row r="21">
          <cell r="G21">
            <v>131745.90225657949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
      <sheetName val="J &amp; L"/>
      <sheetName val="M"/>
      <sheetName val="P &amp; Q"/>
      <sheetName val="IBNR R3"/>
      <sheetName val="IBNR R5"/>
      <sheetName val="IBNR 8"/>
    </sheetNames>
    <sheetDataSet>
      <sheetData sheetId="0"/>
      <sheetData sheetId="1">
        <row r="18">
          <cell r="G18">
            <v>246465.57385683554</v>
          </cell>
        </row>
        <row r="19">
          <cell r="G19">
            <v>439867.65787200839</v>
          </cell>
        </row>
        <row r="20">
          <cell r="G20">
            <v>671219.5280419552</v>
          </cell>
        </row>
        <row r="21">
          <cell r="G21">
            <v>58435.83098945496</v>
          </cell>
        </row>
        <row r="22">
          <cell r="G22">
            <v>79597.018535644485</v>
          </cell>
        </row>
        <row r="23">
          <cell r="G23">
            <v>17560.81361378888</v>
          </cell>
        </row>
        <row r="24">
          <cell r="G24">
            <v>260078.57709031209</v>
          </cell>
        </row>
        <row r="28">
          <cell r="G28">
            <v>87582.58</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cking_Jan"/>
      <sheetName val="Tracking_Feb"/>
      <sheetName val="Tracking_Mar"/>
      <sheetName val="Tracking_Apr"/>
      <sheetName val="Tracking_May"/>
      <sheetName val="Tracking_Jun"/>
      <sheetName val="SFY 2021 - P2 With SUD"/>
      <sheetName val="IBNR"/>
      <sheetName val="SFY23 SUD Rates"/>
      <sheetName val="Summary JE"/>
      <sheetName val="Region 3"/>
      <sheetName val="R3 RC"/>
      <sheetName val="Region 5"/>
      <sheetName val="R5 RC"/>
      <sheetName val="Region DH"/>
      <sheetName val="DH RC"/>
    </sheetNames>
    <sheetDataSet>
      <sheetData sheetId="0"/>
      <sheetData sheetId="1"/>
      <sheetData sheetId="2"/>
      <sheetData sheetId="3"/>
      <sheetData sheetId="4"/>
      <sheetData sheetId="5"/>
      <sheetData sheetId="6"/>
      <sheetData sheetId="7"/>
      <sheetData sheetId="8">
        <row r="13">
          <cell r="AY13">
            <v>1.4767883326087416E-2</v>
          </cell>
          <cell r="AZ13">
            <v>5.6111792158093792</v>
          </cell>
          <cell r="BA13">
            <v>7.6709312846868979E-2</v>
          </cell>
          <cell r="BB13">
            <v>0.74214833828650839</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J86"/>
  <sheetViews>
    <sheetView showGridLines="0" topLeftCell="A48" zoomScaleNormal="100" workbookViewId="0">
      <selection activeCell="B66" sqref="B66"/>
    </sheetView>
  </sheetViews>
  <sheetFormatPr defaultColWidth="8.77734375" defaultRowHeight="15" customHeight="1" x14ac:dyDescent="0.3"/>
  <cols>
    <col min="1" max="1" width="2.21875" customWidth="1"/>
    <col min="2" max="2" width="36.21875" customWidth="1"/>
    <col min="3" max="3" width="25.77734375" customWidth="1"/>
    <col min="4" max="4" width="15.21875" customWidth="1"/>
    <col min="5" max="5" width="36.44140625" customWidth="1"/>
    <col min="6" max="6" width="10.21875" customWidth="1"/>
    <col min="7" max="7" width="11" customWidth="1"/>
    <col min="8" max="8" width="14" customWidth="1"/>
    <col min="9" max="9" width="15.77734375" customWidth="1"/>
  </cols>
  <sheetData>
    <row r="2" spans="2:9" ht="18" x14ac:dyDescent="0.35">
      <c r="B2" s="98" t="s">
        <v>67</v>
      </c>
      <c r="C2" s="12"/>
      <c r="D2" s="12"/>
      <c r="E2" s="12"/>
      <c r="F2" s="12"/>
      <c r="G2" s="12"/>
    </row>
    <row r="3" spans="2:9" ht="15" customHeight="1" x14ac:dyDescent="0.3">
      <c r="B3" s="99"/>
      <c r="C3" s="12"/>
      <c r="D3" s="12"/>
      <c r="E3" s="12"/>
      <c r="F3" s="12"/>
      <c r="G3" s="12"/>
    </row>
    <row r="4" spans="2:9" ht="15" customHeight="1" thickBot="1" x14ac:dyDescent="0.35">
      <c r="B4" s="10" t="s">
        <v>22</v>
      </c>
      <c r="C4" s="12"/>
      <c r="D4" s="12"/>
      <c r="E4" s="12"/>
      <c r="F4" s="12"/>
      <c r="G4" s="12"/>
    </row>
    <row r="5" spans="2:9" ht="15" customHeight="1" x14ac:dyDescent="0.3">
      <c r="B5" s="13" t="s">
        <v>72</v>
      </c>
      <c r="C5" s="14"/>
      <c r="D5" s="14"/>
      <c r="E5" s="15"/>
      <c r="F5" s="12"/>
      <c r="G5" s="12"/>
    </row>
    <row r="6" spans="2:9" ht="15" customHeight="1" x14ac:dyDescent="0.3">
      <c r="B6" s="16" t="s">
        <v>66</v>
      </c>
      <c r="C6" s="12"/>
      <c r="D6" s="12"/>
      <c r="E6" s="17"/>
      <c r="F6" s="12"/>
      <c r="G6" s="12"/>
    </row>
    <row r="7" spans="2:9" ht="15" customHeight="1" x14ac:dyDescent="0.3">
      <c r="B7" s="16" t="s">
        <v>23</v>
      </c>
      <c r="C7" s="12"/>
      <c r="D7" s="12"/>
      <c r="E7" s="17"/>
      <c r="F7" s="12"/>
      <c r="G7" s="12"/>
    </row>
    <row r="8" spans="2:9" ht="15" customHeight="1" thickBot="1" x14ac:dyDescent="0.35">
      <c r="B8" s="29" t="s">
        <v>46</v>
      </c>
      <c r="C8" s="18"/>
      <c r="D8" s="18"/>
      <c r="E8" s="19"/>
      <c r="F8" s="12"/>
      <c r="G8" s="12"/>
    </row>
    <row r="9" spans="2:9" ht="15" customHeight="1" x14ac:dyDescent="0.3">
      <c r="B9" s="12"/>
      <c r="C9" s="12"/>
      <c r="D9" s="12"/>
      <c r="E9" s="12"/>
      <c r="F9" s="12"/>
      <c r="G9" s="12"/>
    </row>
    <row r="10" spans="2:9" ht="15" customHeight="1" thickBot="1" x14ac:dyDescent="0.35">
      <c r="B10" s="10" t="s">
        <v>24</v>
      </c>
      <c r="C10" s="12"/>
      <c r="D10" s="12"/>
      <c r="E10" s="12"/>
      <c r="F10" s="12"/>
      <c r="G10" s="12"/>
    </row>
    <row r="11" spans="2:9" ht="15" customHeight="1" x14ac:dyDescent="0.3">
      <c r="B11" s="33" t="s">
        <v>47</v>
      </c>
      <c r="C11" s="69" t="s">
        <v>277</v>
      </c>
      <c r="E11" s="12"/>
      <c r="F11" s="12"/>
      <c r="G11" s="12"/>
    </row>
    <row r="12" spans="2:9" ht="15" customHeight="1" x14ac:dyDescent="0.3">
      <c r="B12" s="20" t="s">
        <v>71</v>
      </c>
      <c r="C12" s="70" t="s">
        <v>278</v>
      </c>
      <c r="E12" s="12"/>
      <c r="F12" s="12"/>
      <c r="G12" s="12"/>
    </row>
    <row r="13" spans="2:9" ht="15" customHeight="1" x14ac:dyDescent="0.3">
      <c r="B13" s="68" t="s">
        <v>100</v>
      </c>
      <c r="C13" s="95" t="s">
        <v>91</v>
      </c>
      <c r="E13" s="12"/>
      <c r="F13" s="12"/>
      <c r="G13" s="12"/>
    </row>
    <row r="14" spans="2:9" ht="15" customHeight="1" thickBot="1" x14ac:dyDescent="0.35">
      <c r="B14" s="21" t="s">
        <v>25</v>
      </c>
      <c r="C14" s="71">
        <v>44834</v>
      </c>
      <c r="E14" s="12"/>
      <c r="F14" s="12"/>
      <c r="G14" s="12"/>
    </row>
    <row r="15" spans="2:9" ht="15" customHeight="1" x14ac:dyDescent="0.3">
      <c r="B15" s="12"/>
      <c r="C15" s="12"/>
      <c r="D15" s="12"/>
      <c r="E15" s="12"/>
      <c r="F15" s="12"/>
      <c r="G15" s="12"/>
    </row>
    <row r="16" spans="2:9" s="5" customFormat="1" ht="15" customHeight="1" thickBot="1" x14ac:dyDescent="0.35">
      <c r="B16" s="10" t="s">
        <v>113</v>
      </c>
      <c r="C16" s="12"/>
      <c r="D16" s="12"/>
      <c r="E16" s="12"/>
      <c r="F16" s="12"/>
      <c r="G16" s="12"/>
      <c r="H16" s="12"/>
      <c r="I16" s="12"/>
    </row>
    <row r="17" spans="2:10" s="5" customFormat="1" ht="15" customHeight="1" x14ac:dyDescent="0.3">
      <c r="B17" s="119" t="s">
        <v>114</v>
      </c>
      <c r="C17" s="120" t="s">
        <v>115</v>
      </c>
      <c r="D17" s="15"/>
      <c r="E17" s="12"/>
      <c r="F17" s="12"/>
      <c r="G17" s="12"/>
      <c r="H17" s="12"/>
      <c r="I17" s="12"/>
    </row>
    <row r="18" spans="2:10" s="5" customFormat="1" ht="15" customHeight="1" x14ac:dyDescent="0.3">
      <c r="B18" s="121" t="s">
        <v>116</v>
      </c>
      <c r="C18" s="22" t="s">
        <v>117</v>
      </c>
      <c r="D18" s="17"/>
      <c r="E18" s="12"/>
      <c r="F18" s="12"/>
      <c r="G18" s="12"/>
      <c r="H18" s="12"/>
      <c r="I18" s="12"/>
    </row>
    <row r="19" spans="2:10" s="5" customFormat="1" ht="15" customHeight="1" x14ac:dyDescent="0.3">
      <c r="B19" s="121" t="s">
        <v>118</v>
      </c>
      <c r="C19" s="22" t="s">
        <v>93</v>
      </c>
      <c r="D19" s="17"/>
      <c r="E19" s="12"/>
      <c r="F19" s="12"/>
      <c r="G19" s="12"/>
      <c r="H19" s="12"/>
      <c r="I19" s="12"/>
    </row>
    <row r="20" spans="2:10" s="5" customFormat="1" ht="15" customHeight="1" x14ac:dyDescent="0.3">
      <c r="B20" s="121" t="s">
        <v>123</v>
      </c>
      <c r="C20" s="22" t="s">
        <v>97</v>
      </c>
      <c r="D20" s="17"/>
      <c r="E20" s="12"/>
      <c r="F20" s="12"/>
      <c r="G20" s="12"/>
      <c r="H20" s="12"/>
      <c r="I20" s="12"/>
    </row>
    <row r="21" spans="2:10" s="5" customFormat="1" ht="15" customHeight="1" x14ac:dyDescent="0.3">
      <c r="B21" s="121" t="s">
        <v>124</v>
      </c>
      <c r="C21" s="22" t="s">
        <v>125</v>
      </c>
      <c r="D21" s="17"/>
      <c r="E21" s="12"/>
      <c r="F21" s="12"/>
      <c r="G21" s="12"/>
      <c r="H21" s="12"/>
      <c r="I21" s="12"/>
    </row>
    <row r="22" spans="2:10" s="5" customFormat="1" ht="15" customHeight="1" x14ac:dyDescent="0.3">
      <c r="B22" s="16" t="s">
        <v>122</v>
      </c>
      <c r="C22" s="12" t="s">
        <v>65</v>
      </c>
      <c r="D22" s="17"/>
      <c r="E22" s="12"/>
      <c r="F22" s="12"/>
      <c r="G22" s="12"/>
      <c r="H22" s="12"/>
      <c r="I22" s="12"/>
    </row>
    <row r="23" spans="2:10" s="5" customFormat="1" ht="15" customHeight="1" x14ac:dyDescent="0.3">
      <c r="B23" s="23" t="s">
        <v>119</v>
      </c>
      <c r="C23" s="12" t="s">
        <v>120</v>
      </c>
      <c r="D23" s="17"/>
      <c r="E23" s="12"/>
      <c r="F23" s="12"/>
      <c r="G23" s="12"/>
      <c r="H23" s="12"/>
      <c r="I23" s="12"/>
    </row>
    <row r="24" spans="2:10" s="5" customFormat="1" ht="15" customHeight="1" thickBot="1" x14ac:dyDescent="0.35">
      <c r="B24" s="24" t="s">
        <v>68</v>
      </c>
      <c r="C24" s="18" t="s">
        <v>121</v>
      </c>
      <c r="D24" s="19"/>
      <c r="E24" s="12"/>
      <c r="F24" s="12"/>
      <c r="G24" s="12"/>
      <c r="H24" s="12"/>
      <c r="I24" s="12"/>
    </row>
    <row r="25" spans="2:10" s="5" customFormat="1" ht="15" customHeight="1" x14ac:dyDescent="0.3">
      <c r="B25" s="12"/>
      <c r="C25" s="12"/>
      <c r="D25" s="12"/>
      <c r="E25" s="12"/>
      <c r="F25" s="12"/>
      <c r="G25" s="12"/>
      <c r="H25" s="12"/>
      <c r="I25" s="12"/>
    </row>
    <row r="26" spans="2:10" s="5" customFormat="1" ht="15" customHeight="1" thickBot="1" x14ac:dyDescent="0.35">
      <c r="B26" s="10" t="s">
        <v>26</v>
      </c>
      <c r="C26" s="12"/>
      <c r="D26" s="12"/>
      <c r="E26" s="12"/>
      <c r="F26" s="12"/>
      <c r="G26" s="12"/>
      <c r="H26" s="12"/>
      <c r="I26" s="12"/>
    </row>
    <row r="27" spans="2:10" s="5" customFormat="1" ht="15" customHeight="1" x14ac:dyDescent="0.3">
      <c r="B27" s="122" t="s">
        <v>126</v>
      </c>
      <c r="C27" s="123"/>
      <c r="D27" s="123"/>
      <c r="E27" s="123"/>
      <c r="F27" s="123"/>
      <c r="G27" s="123"/>
      <c r="H27" s="123"/>
      <c r="I27" s="124"/>
    </row>
    <row r="28" spans="2:10" s="5" customFormat="1" ht="15" customHeight="1" x14ac:dyDescent="0.3">
      <c r="B28" s="125" t="s">
        <v>127</v>
      </c>
      <c r="C28" s="126"/>
      <c r="D28" s="126"/>
      <c r="E28" s="126"/>
      <c r="F28" s="126"/>
      <c r="G28" s="126"/>
      <c r="H28" s="127"/>
      <c r="I28" s="128"/>
    </row>
    <row r="29" spans="2:10" s="5" customFormat="1" ht="15" customHeight="1" x14ac:dyDescent="0.3">
      <c r="B29" s="16" t="s">
        <v>128</v>
      </c>
      <c r="C29" s="127"/>
      <c r="D29" s="127"/>
      <c r="E29" s="127"/>
      <c r="F29" s="127"/>
      <c r="G29" s="127"/>
      <c r="H29" s="127"/>
      <c r="I29" s="128"/>
    </row>
    <row r="30" spans="2:10" s="5" customFormat="1" ht="15" customHeight="1" x14ac:dyDescent="0.3">
      <c r="B30" s="16" t="s">
        <v>129</v>
      </c>
      <c r="C30" s="127"/>
      <c r="D30" s="127"/>
      <c r="E30" s="127"/>
      <c r="F30" s="127"/>
      <c r="G30" s="127"/>
      <c r="H30" s="127"/>
      <c r="I30" s="128"/>
    </row>
    <row r="31" spans="2:10" s="5" customFormat="1" ht="15" customHeight="1" x14ac:dyDescent="0.3">
      <c r="B31" s="16" t="s">
        <v>156</v>
      </c>
      <c r="C31" s="127"/>
      <c r="D31" s="127"/>
      <c r="E31" s="127"/>
      <c r="F31" s="127"/>
      <c r="G31" s="127"/>
      <c r="H31" s="127"/>
      <c r="I31" s="128"/>
    </row>
    <row r="32" spans="2:10" s="5" customFormat="1" ht="15" customHeight="1" x14ac:dyDescent="0.3">
      <c r="B32" s="23" t="s">
        <v>130</v>
      </c>
      <c r="C32" s="127"/>
      <c r="D32" s="127"/>
      <c r="E32" s="127"/>
      <c r="F32" s="127"/>
      <c r="G32" s="127"/>
      <c r="H32" s="127"/>
      <c r="I32" s="128"/>
      <c r="J32" s="129"/>
    </row>
    <row r="33" spans="2:10" s="5" customFormat="1" ht="15" customHeight="1" x14ac:dyDescent="0.3">
      <c r="B33" s="16" t="s">
        <v>157</v>
      </c>
      <c r="C33" s="127"/>
      <c r="D33" s="127"/>
      <c r="E33" s="127"/>
      <c r="F33" s="127"/>
      <c r="G33" s="127"/>
      <c r="H33" s="127"/>
      <c r="I33" s="128"/>
    </row>
    <row r="34" spans="2:10" s="5" customFormat="1" ht="15" customHeight="1" x14ac:dyDescent="0.3">
      <c r="B34" s="23" t="s">
        <v>131</v>
      </c>
      <c r="C34" s="127"/>
      <c r="D34" s="127"/>
      <c r="E34" s="127"/>
      <c r="F34" s="127"/>
      <c r="G34" s="127"/>
      <c r="H34" s="127"/>
      <c r="I34" s="128"/>
      <c r="J34" s="129"/>
    </row>
    <row r="35" spans="2:10" s="5" customFormat="1" ht="15" customHeight="1" x14ac:dyDescent="0.3">
      <c r="B35" s="130" t="s">
        <v>132</v>
      </c>
      <c r="C35" s="127"/>
      <c r="D35" s="127"/>
      <c r="E35" s="127"/>
      <c r="F35" s="127"/>
      <c r="G35" s="127"/>
      <c r="H35" s="127"/>
      <c r="I35" s="128"/>
      <c r="J35" s="129"/>
    </row>
    <row r="36" spans="2:10" s="5" customFormat="1" ht="15" customHeight="1" x14ac:dyDescent="0.3">
      <c r="B36" s="23" t="s">
        <v>133</v>
      </c>
      <c r="C36" s="127"/>
      <c r="D36" s="127"/>
      <c r="E36" s="127"/>
      <c r="F36" s="127"/>
      <c r="G36" s="127"/>
      <c r="H36" s="127"/>
      <c r="I36" s="128"/>
    </row>
    <row r="37" spans="2:10" s="5" customFormat="1" ht="15" customHeight="1" x14ac:dyDescent="0.3">
      <c r="B37" s="16" t="s">
        <v>158</v>
      </c>
      <c r="C37" s="127"/>
      <c r="D37" s="127"/>
      <c r="E37" s="127"/>
      <c r="F37" s="127"/>
      <c r="G37" s="127"/>
      <c r="H37" s="127"/>
      <c r="I37" s="128"/>
    </row>
    <row r="38" spans="2:10" s="5" customFormat="1" ht="15" customHeight="1" x14ac:dyDescent="0.3">
      <c r="B38" s="23" t="s">
        <v>134</v>
      </c>
      <c r="C38" s="127"/>
      <c r="D38" s="127"/>
      <c r="E38" s="127"/>
      <c r="F38" s="127"/>
      <c r="G38" s="127"/>
      <c r="H38" s="127"/>
      <c r="I38" s="128"/>
    </row>
    <row r="39" spans="2:10" s="5" customFormat="1" ht="15" customHeight="1" x14ac:dyDescent="0.3">
      <c r="B39" s="131"/>
      <c r="C39" s="127"/>
      <c r="D39" s="127"/>
      <c r="E39" s="127"/>
      <c r="F39" s="127"/>
      <c r="G39" s="127"/>
      <c r="H39" s="127"/>
      <c r="I39" s="128"/>
    </row>
    <row r="40" spans="2:10" s="5" customFormat="1" ht="15" customHeight="1" x14ac:dyDescent="0.3">
      <c r="B40" s="132" t="s">
        <v>135</v>
      </c>
      <c r="C40" s="126"/>
      <c r="D40" s="126"/>
      <c r="E40" s="126"/>
      <c r="F40" s="126"/>
      <c r="G40" s="126"/>
      <c r="H40" s="126"/>
      <c r="I40" s="128"/>
    </row>
    <row r="41" spans="2:10" s="5" customFormat="1" ht="15" customHeight="1" x14ac:dyDescent="0.3">
      <c r="B41" s="16" t="s">
        <v>136</v>
      </c>
      <c r="C41" s="127"/>
      <c r="D41" s="127"/>
      <c r="E41" s="127"/>
      <c r="F41" s="127"/>
      <c r="G41" s="127"/>
      <c r="H41" s="127"/>
      <c r="I41" s="128"/>
      <c r="J41" s="129"/>
    </row>
    <row r="42" spans="2:10" s="5" customFormat="1" ht="15" customHeight="1" x14ac:dyDescent="0.3">
      <c r="B42" s="16" t="s">
        <v>159</v>
      </c>
      <c r="C42" s="127"/>
      <c r="D42" s="127"/>
      <c r="E42" s="127"/>
      <c r="F42" s="127"/>
      <c r="G42" s="127"/>
      <c r="H42" s="127"/>
      <c r="I42" s="128"/>
    </row>
    <row r="43" spans="2:10" s="5" customFormat="1" ht="15" customHeight="1" x14ac:dyDescent="0.3">
      <c r="B43" s="16" t="s">
        <v>160</v>
      </c>
      <c r="C43" s="127"/>
      <c r="D43" s="127"/>
      <c r="E43" s="127"/>
      <c r="F43" s="127"/>
      <c r="G43" s="127"/>
      <c r="H43" s="127"/>
      <c r="I43" s="128"/>
    </row>
    <row r="44" spans="2:10" s="5" customFormat="1" ht="15" customHeight="1" x14ac:dyDescent="0.3">
      <c r="B44" s="16" t="s">
        <v>137</v>
      </c>
      <c r="C44" s="127"/>
      <c r="D44" s="127"/>
      <c r="E44" s="127"/>
      <c r="F44" s="127"/>
      <c r="G44" s="127"/>
      <c r="H44" s="127"/>
      <c r="I44" s="128"/>
    </row>
    <row r="45" spans="2:10" s="5" customFormat="1" ht="15" customHeight="1" x14ac:dyDescent="0.3">
      <c r="B45" s="16" t="s">
        <v>138</v>
      </c>
      <c r="C45" s="127"/>
      <c r="D45" s="127"/>
      <c r="E45" s="127"/>
      <c r="F45" s="127"/>
      <c r="G45" s="127"/>
      <c r="H45" s="127"/>
      <c r="I45" s="128"/>
    </row>
    <row r="46" spans="2:10" s="5" customFormat="1" ht="15" customHeight="1" x14ac:dyDescent="0.3">
      <c r="B46" s="16" t="s">
        <v>139</v>
      </c>
      <c r="C46" s="127"/>
      <c r="D46" s="127"/>
      <c r="E46" s="127"/>
      <c r="F46" s="127"/>
      <c r="G46" s="127"/>
      <c r="H46" s="127"/>
      <c r="I46" s="128"/>
    </row>
    <row r="47" spans="2:10" s="5" customFormat="1" ht="15" customHeight="1" x14ac:dyDescent="0.3">
      <c r="B47" s="16" t="s">
        <v>165</v>
      </c>
      <c r="C47" s="127"/>
      <c r="D47" s="127"/>
      <c r="E47" s="127"/>
      <c r="F47" s="127"/>
      <c r="G47" s="127"/>
      <c r="H47" s="127"/>
      <c r="I47" s="128"/>
    </row>
    <row r="48" spans="2:10" s="5" customFormat="1" ht="15" customHeight="1" x14ac:dyDescent="0.3">
      <c r="B48" s="16" t="s">
        <v>161</v>
      </c>
      <c r="C48" s="127"/>
      <c r="D48" s="127"/>
      <c r="E48" s="127"/>
      <c r="F48" s="127"/>
      <c r="G48" s="127"/>
      <c r="H48" s="127"/>
      <c r="I48" s="128"/>
    </row>
    <row r="49" spans="2:9" s="5" customFormat="1" ht="15" customHeight="1" x14ac:dyDescent="0.3">
      <c r="B49" s="16" t="s">
        <v>140</v>
      </c>
      <c r="C49" s="127"/>
      <c r="D49" s="127"/>
      <c r="E49" s="127"/>
      <c r="F49" s="127"/>
      <c r="G49" s="127"/>
      <c r="H49" s="127"/>
      <c r="I49" s="128"/>
    </row>
    <row r="50" spans="2:9" s="5" customFormat="1" ht="15" customHeight="1" x14ac:dyDescent="0.3">
      <c r="B50" s="16" t="s">
        <v>141</v>
      </c>
      <c r="C50" s="127"/>
      <c r="D50" s="127"/>
      <c r="E50" s="127"/>
      <c r="F50" s="127"/>
      <c r="G50" s="127"/>
      <c r="H50" s="127"/>
      <c r="I50" s="128"/>
    </row>
    <row r="51" spans="2:9" s="5" customFormat="1" ht="15" customHeight="1" x14ac:dyDescent="0.3">
      <c r="B51" s="16" t="s">
        <v>142</v>
      </c>
      <c r="C51" s="127"/>
      <c r="D51" s="127"/>
      <c r="E51" s="127"/>
      <c r="F51" s="127"/>
      <c r="G51" s="127"/>
      <c r="H51" s="127"/>
      <c r="I51" s="128"/>
    </row>
    <row r="52" spans="2:9" s="5" customFormat="1" ht="15" customHeight="1" x14ac:dyDescent="0.3">
      <c r="B52" s="16" t="s">
        <v>143</v>
      </c>
      <c r="C52" s="127"/>
      <c r="D52" s="127"/>
      <c r="E52" s="127"/>
      <c r="F52" s="127"/>
      <c r="G52" s="127"/>
      <c r="H52" s="127"/>
      <c r="I52" s="128"/>
    </row>
    <row r="53" spans="2:9" s="5" customFormat="1" ht="15" customHeight="1" x14ac:dyDescent="0.3">
      <c r="B53" s="16" t="s">
        <v>166</v>
      </c>
      <c r="C53" s="127"/>
      <c r="D53" s="127"/>
      <c r="E53" s="127"/>
      <c r="F53" s="127"/>
      <c r="G53" s="127"/>
      <c r="H53" s="127"/>
      <c r="I53" s="128"/>
    </row>
    <row r="54" spans="2:9" s="5" customFormat="1" ht="15" customHeight="1" x14ac:dyDescent="0.3">
      <c r="B54" s="16" t="s">
        <v>144</v>
      </c>
      <c r="C54" s="127"/>
      <c r="D54" s="127"/>
      <c r="E54" s="127"/>
      <c r="F54" s="127"/>
      <c r="G54" s="127"/>
      <c r="H54" s="127"/>
      <c r="I54" s="128"/>
    </row>
    <row r="55" spans="2:9" s="5" customFormat="1" ht="15" customHeight="1" x14ac:dyDescent="0.3">
      <c r="B55" s="16" t="s">
        <v>276</v>
      </c>
      <c r="C55" s="127"/>
      <c r="D55" s="127"/>
      <c r="E55" s="127"/>
      <c r="F55" s="127"/>
      <c r="G55" s="127"/>
      <c r="H55" s="127"/>
      <c r="I55" s="128"/>
    </row>
    <row r="56" spans="2:9" s="5" customFormat="1" ht="15" customHeight="1" x14ac:dyDescent="0.3">
      <c r="B56" s="16" t="s">
        <v>145</v>
      </c>
      <c r="C56" s="127"/>
      <c r="D56" s="127"/>
      <c r="E56" s="127"/>
      <c r="F56" s="127"/>
      <c r="G56" s="127"/>
      <c r="H56" s="127"/>
      <c r="I56" s="128"/>
    </row>
    <row r="57" spans="2:9" s="5" customFormat="1" ht="15" customHeight="1" x14ac:dyDescent="0.3">
      <c r="B57" s="16" t="s">
        <v>146</v>
      </c>
      <c r="C57" s="127"/>
      <c r="D57" s="127"/>
      <c r="E57" s="127"/>
      <c r="F57" s="127"/>
      <c r="G57" s="127"/>
      <c r="H57" s="127"/>
      <c r="I57" s="128"/>
    </row>
    <row r="58" spans="2:9" s="5" customFormat="1" ht="15" customHeight="1" x14ac:dyDescent="0.3">
      <c r="B58" s="16" t="s">
        <v>147</v>
      </c>
      <c r="C58" s="127"/>
      <c r="D58" s="127"/>
      <c r="E58" s="127"/>
      <c r="F58" s="127"/>
      <c r="G58" s="127"/>
      <c r="H58" s="127"/>
      <c r="I58" s="128"/>
    </row>
    <row r="59" spans="2:9" s="5" customFormat="1" ht="15" customHeight="1" x14ac:dyDescent="0.3">
      <c r="B59" s="16"/>
      <c r="C59" s="127"/>
      <c r="D59" s="127"/>
      <c r="E59" s="127"/>
      <c r="F59" s="127"/>
      <c r="G59" s="127"/>
      <c r="H59" s="127"/>
      <c r="I59" s="128"/>
    </row>
    <row r="60" spans="2:9" s="5" customFormat="1" ht="15" customHeight="1" x14ac:dyDescent="0.3">
      <c r="B60" s="16" t="s">
        <v>148</v>
      </c>
      <c r="C60" s="127"/>
      <c r="D60" s="127"/>
      <c r="E60" s="127"/>
      <c r="F60" s="127"/>
      <c r="G60" s="127"/>
      <c r="H60" s="127"/>
      <c r="I60" s="128"/>
    </row>
    <row r="61" spans="2:9" s="5" customFormat="1" ht="15" customHeight="1" x14ac:dyDescent="0.3">
      <c r="B61" s="133" t="s">
        <v>149</v>
      </c>
      <c r="C61" s="127"/>
      <c r="D61" s="127"/>
      <c r="E61" s="127"/>
      <c r="F61" s="127"/>
      <c r="G61" s="127"/>
      <c r="H61" s="127"/>
      <c r="I61" s="128"/>
    </row>
    <row r="62" spans="2:9" s="5" customFormat="1" ht="15" customHeight="1" x14ac:dyDescent="0.3">
      <c r="B62" s="133" t="s">
        <v>32</v>
      </c>
      <c r="C62" s="127"/>
      <c r="D62" s="127"/>
      <c r="E62" s="127"/>
      <c r="F62" s="127"/>
      <c r="G62" s="127"/>
      <c r="H62" s="127"/>
      <c r="I62" s="128"/>
    </row>
    <row r="63" spans="2:9" s="5" customFormat="1" ht="15" customHeight="1" x14ac:dyDescent="0.3">
      <c r="B63" s="133" t="s">
        <v>150</v>
      </c>
      <c r="C63" s="127"/>
      <c r="D63" s="127"/>
      <c r="E63" s="127"/>
      <c r="F63" s="127"/>
      <c r="G63" s="127"/>
      <c r="H63" s="127"/>
      <c r="I63" s="128"/>
    </row>
    <row r="64" spans="2:9" s="5" customFormat="1" ht="15" customHeight="1" x14ac:dyDescent="0.3">
      <c r="B64" s="133"/>
      <c r="C64" s="127"/>
      <c r="D64" s="127"/>
      <c r="E64" s="127"/>
      <c r="F64" s="127"/>
      <c r="G64" s="127"/>
      <c r="H64" s="127"/>
      <c r="I64" s="128"/>
    </row>
    <row r="65" spans="2:9" s="5" customFormat="1" ht="15" customHeight="1" x14ac:dyDescent="0.3">
      <c r="B65" s="134" t="s">
        <v>151</v>
      </c>
      <c r="C65" s="127"/>
      <c r="D65" s="127"/>
      <c r="E65" s="127"/>
      <c r="F65" s="127"/>
      <c r="G65" s="127"/>
      <c r="H65" s="127"/>
      <c r="I65" s="128"/>
    </row>
    <row r="66" spans="2:9" s="5" customFormat="1" ht="15" customHeight="1" x14ac:dyDescent="0.3">
      <c r="B66" s="133" t="s">
        <v>152</v>
      </c>
      <c r="C66" s="127"/>
      <c r="D66" s="127"/>
      <c r="E66" s="127"/>
      <c r="F66" s="127"/>
      <c r="G66" s="127"/>
      <c r="H66" s="127"/>
      <c r="I66" s="128"/>
    </row>
    <row r="67" spans="2:9" s="5" customFormat="1" ht="15" customHeight="1" x14ac:dyDescent="0.3">
      <c r="B67" s="133"/>
      <c r="C67" s="127"/>
      <c r="D67" s="127"/>
      <c r="E67" s="127"/>
      <c r="F67" s="127"/>
      <c r="G67" s="127"/>
      <c r="H67" s="127"/>
      <c r="I67" s="128"/>
    </row>
    <row r="68" spans="2:9" s="5" customFormat="1" ht="15" customHeight="1" x14ac:dyDescent="0.3">
      <c r="B68" s="134" t="s">
        <v>153</v>
      </c>
      <c r="C68" s="127"/>
      <c r="D68" s="127"/>
      <c r="E68" s="127"/>
      <c r="F68" s="127"/>
      <c r="G68" s="127"/>
      <c r="H68" s="127"/>
      <c r="I68" s="128"/>
    </row>
    <row r="69" spans="2:9" s="5" customFormat="1" ht="15" customHeight="1" x14ac:dyDescent="0.3">
      <c r="B69" s="133" t="s">
        <v>154</v>
      </c>
      <c r="C69" s="127"/>
      <c r="D69" s="127"/>
      <c r="E69" s="127"/>
      <c r="F69" s="127"/>
      <c r="G69" s="127"/>
      <c r="H69" s="127"/>
      <c r="I69" s="128"/>
    </row>
    <row r="70" spans="2:9" s="5" customFormat="1" ht="15" customHeight="1" x14ac:dyDescent="0.3">
      <c r="B70" s="133" t="s">
        <v>164</v>
      </c>
      <c r="C70" s="127"/>
      <c r="D70" s="127"/>
      <c r="E70" s="127"/>
      <c r="F70" s="127"/>
      <c r="G70" s="127"/>
      <c r="H70" s="127"/>
      <c r="I70" s="128"/>
    </row>
    <row r="71" spans="2:9" s="5" customFormat="1" ht="15" customHeight="1" x14ac:dyDescent="0.3">
      <c r="B71" s="133"/>
      <c r="C71" s="127"/>
      <c r="D71" s="127"/>
      <c r="E71" s="127"/>
      <c r="F71" s="127"/>
      <c r="G71" s="127"/>
      <c r="H71" s="127"/>
      <c r="I71" s="128"/>
    </row>
    <row r="72" spans="2:9" s="5" customFormat="1" ht="15" customHeight="1" x14ac:dyDescent="0.3">
      <c r="B72" s="134" t="s">
        <v>167</v>
      </c>
      <c r="C72" s="127"/>
      <c r="D72" s="127"/>
      <c r="E72" s="127"/>
      <c r="F72" s="127"/>
      <c r="G72" s="127"/>
      <c r="H72" s="127"/>
      <c r="I72" s="128"/>
    </row>
    <row r="73" spans="2:9" s="5" customFormat="1" ht="15" customHeight="1" x14ac:dyDescent="0.3">
      <c r="B73" s="133" t="s">
        <v>169</v>
      </c>
      <c r="C73" s="127"/>
      <c r="D73" s="127"/>
      <c r="E73" s="127"/>
      <c r="F73" s="127"/>
      <c r="G73" s="127"/>
      <c r="H73" s="127"/>
      <c r="I73" s="128"/>
    </row>
    <row r="74" spans="2:9" s="5" customFormat="1" ht="15" customHeight="1" x14ac:dyDescent="0.3">
      <c r="B74" s="133"/>
      <c r="C74" s="127"/>
      <c r="D74" s="127"/>
      <c r="E74" s="127"/>
      <c r="F74" s="127"/>
      <c r="G74" s="127"/>
      <c r="H74" s="127"/>
      <c r="I74" s="128"/>
    </row>
    <row r="75" spans="2:9" s="5" customFormat="1" ht="15" customHeight="1" x14ac:dyDescent="0.3">
      <c r="B75" s="134" t="s">
        <v>168</v>
      </c>
      <c r="C75" s="127"/>
      <c r="D75" s="127"/>
      <c r="E75" s="127"/>
      <c r="F75" s="127"/>
      <c r="G75" s="127"/>
      <c r="H75" s="127"/>
      <c r="I75" s="128"/>
    </row>
    <row r="76" spans="2:9" s="5" customFormat="1" ht="15" customHeight="1" x14ac:dyDescent="0.3">
      <c r="B76" s="133" t="s">
        <v>170</v>
      </c>
      <c r="C76" s="127"/>
      <c r="D76" s="127"/>
      <c r="E76" s="127"/>
      <c r="F76" s="127"/>
      <c r="G76" s="127"/>
      <c r="H76" s="127"/>
      <c r="I76" s="128"/>
    </row>
    <row r="77" spans="2:9" s="5" customFormat="1" ht="15" customHeight="1" x14ac:dyDescent="0.3">
      <c r="B77" s="133"/>
      <c r="C77" s="127"/>
      <c r="D77" s="127"/>
      <c r="E77" s="127"/>
      <c r="F77" s="127"/>
      <c r="G77" s="127"/>
      <c r="H77" s="127"/>
      <c r="I77" s="128"/>
    </row>
    <row r="78" spans="2:9" s="5" customFormat="1" ht="15" customHeight="1" x14ac:dyDescent="0.3">
      <c r="B78" s="134" t="s">
        <v>163</v>
      </c>
      <c r="C78" s="127"/>
      <c r="D78" s="127"/>
      <c r="E78" s="127"/>
      <c r="F78" s="127"/>
      <c r="G78" s="127"/>
      <c r="H78" s="127"/>
      <c r="I78" s="128"/>
    </row>
    <row r="79" spans="2:9" s="5" customFormat="1" ht="15" customHeight="1" x14ac:dyDescent="0.3">
      <c r="B79" s="133" t="s">
        <v>162</v>
      </c>
      <c r="C79" s="127"/>
      <c r="D79" s="127"/>
      <c r="E79" s="127"/>
      <c r="F79" s="127"/>
      <c r="G79" s="127"/>
      <c r="H79" s="127"/>
      <c r="I79" s="128"/>
    </row>
    <row r="80" spans="2:9" s="5" customFormat="1" ht="15" customHeight="1" x14ac:dyDescent="0.3">
      <c r="B80" s="133"/>
      <c r="C80" s="127"/>
      <c r="D80" s="127"/>
      <c r="E80" s="127"/>
      <c r="F80" s="127"/>
      <c r="G80" s="127"/>
      <c r="H80" s="127"/>
      <c r="I80" s="128"/>
    </row>
    <row r="81" spans="2:9" s="5" customFormat="1" ht="15" customHeight="1" x14ac:dyDescent="0.3">
      <c r="B81" s="134" t="s">
        <v>119</v>
      </c>
      <c r="C81" s="127"/>
      <c r="D81" s="127"/>
      <c r="E81" s="127"/>
      <c r="F81" s="127"/>
      <c r="G81" s="127"/>
      <c r="H81" s="127"/>
      <c r="I81" s="128"/>
    </row>
    <row r="82" spans="2:9" s="5" customFormat="1" ht="15" customHeight="1" x14ac:dyDescent="0.3">
      <c r="B82" s="133" t="s">
        <v>155</v>
      </c>
      <c r="C82" s="127"/>
      <c r="D82" s="127"/>
      <c r="E82" s="127"/>
      <c r="F82" s="127"/>
      <c r="G82" s="127"/>
      <c r="H82" s="127"/>
      <c r="I82" s="128"/>
    </row>
    <row r="83" spans="2:9" s="5" customFormat="1" ht="15" customHeight="1" x14ac:dyDescent="0.3">
      <c r="B83" s="133"/>
      <c r="C83" s="127"/>
      <c r="D83" s="127"/>
      <c r="E83" s="127"/>
      <c r="F83" s="127"/>
      <c r="G83" s="127"/>
      <c r="H83" s="127"/>
      <c r="I83" s="128"/>
    </row>
    <row r="84" spans="2:9" s="5" customFormat="1" ht="15" customHeight="1" x14ac:dyDescent="0.3">
      <c r="B84" s="134" t="s">
        <v>68</v>
      </c>
      <c r="C84" s="127"/>
      <c r="D84" s="127"/>
      <c r="E84" s="127"/>
      <c r="F84" s="127"/>
      <c r="G84" s="127"/>
      <c r="H84" s="127"/>
      <c r="I84" s="128"/>
    </row>
    <row r="85" spans="2:9" s="5" customFormat="1" ht="15" customHeight="1" thickBot="1" x14ac:dyDescent="0.35">
      <c r="B85" s="135" t="s">
        <v>27</v>
      </c>
      <c r="C85" s="136"/>
      <c r="D85" s="136"/>
      <c r="E85" s="136"/>
      <c r="F85" s="136"/>
      <c r="G85" s="136"/>
      <c r="H85" s="136"/>
      <c r="I85" s="137"/>
    </row>
    <row r="86" spans="2:9" s="5" customFormat="1" ht="15" customHeight="1" x14ac:dyDescent="0.3">
      <c r="B86" s="12"/>
      <c r="C86" s="12"/>
      <c r="D86" s="12"/>
      <c r="E86" s="12"/>
      <c r="F86" s="12"/>
      <c r="G86" s="12"/>
      <c r="H86" s="12"/>
      <c r="I86" s="12"/>
    </row>
  </sheetData>
  <protectedRanges>
    <protectedRange sqref="C11:E11" name="Range1"/>
  </protectedRanges>
  <pageMargins left="0.5" right="0.5" top="0.5" bottom="0.5" header="0.3" footer="0.3"/>
  <pageSetup scale="77" fitToHeight="0" orientation="landscape" r:id="rId1"/>
  <headerFooter>
    <oddHeader>&amp;LCO HCPF - BH&amp;RDraft and Confidential</oddHeader>
    <oddFooter>&amp;L&amp;F |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
  <sheetViews>
    <sheetView showGridLines="0" tabSelected="1" zoomScaleNormal="100" zoomScaleSheetLayoutView="70" workbookViewId="0">
      <selection activeCell="P13" sqref="P13"/>
    </sheetView>
  </sheetViews>
  <sheetFormatPr defaultColWidth="8.77734375" defaultRowHeight="13.8" x14ac:dyDescent="0.3"/>
  <cols>
    <col min="1" max="1" width="2" style="5" customWidth="1"/>
    <col min="2" max="2" width="11" style="5" bestFit="1" customWidth="1"/>
    <col min="3" max="3" width="61.21875" style="5" customWidth="1"/>
    <col min="4" max="5" width="14.5546875" style="5" bestFit="1" customWidth="1"/>
    <col min="6" max="6" width="15.5546875" style="5" bestFit="1" customWidth="1"/>
    <col min="7" max="10" width="14.77734375" style="5" bestFit="1" customWidth="1"/>
    <col min="11" max="11" width="15.6640625" style="5" bestFit="1" customWidth="1"/>
    <col min="12" max="12" width="2.21875" style="5" customWidth="1"/>
    <col min="13" max="16384" width="8.77734375" style="5"/>
  </cols>
  <sheetData>
    <row r="1" spans="1:11" ht="14.4" x14ac:dyDescent="0.3">
      <c r="A1"/>
    </row>
    <row r="2" spans="1:11" ht="14.4" x14ac:dyDescent="0.3">
      <c r="A2"/>
      <c r="B2" s="9" t="s">
        <v>69</v>
      </c>
      <c r="C2" s="10" t="str">
        <f>Overview!$C$11</f>
        <v>Colorado Access</v>
      </c>
    </row>
    <row r="3" spans="1:11" ht="14.4" x14ac:dyDescent="0.3">
      <c r="A3"/>
      <c r="B3" s="9" t="s">
        <v>71</v>
      </c>
      <c r="C3" s="10" t="str">
        <f>Overview!$C$12</f>
        <v>Region 3</v>
      </c>
    </row>
    <row r="4" spans="1:11" ht="14.4" x14ac:dyDescent="0.3">
      <c r="A4"/>
      <c r="B4" s="9" t="s">
        <v>20</v>
      </c>
      <c r="C4" s="11" t="s">
        <v>115</v>
      </c>
    </row>
    <row r="5" spans="1:11" ht="14.4" x14ac:dyDescent="0.3">
      <c r="A5"/>
      <c r="B5" s="9" t="s">
        <v>21</v>
      </c>
      <c r="C5" s="10" t="str">
        <f>Overview!C13</f>
        <v>July 1, 2022 - June 30, 2023</v>
      </c>
    </row>
    <row r="6" spans="1:11" ht="27.6" x14ac:dyDescent="0.3">
      <c r="A6"/>
      <c r="B6" s="9"/>
      <c r="C6" s="10"/>
      <c r="D6" s="201" t="s">
        <v>34</v>
      </c>
      <c r="E6" s="201" t="s">
        <v>35</v>
      </c>
      <c r="F6" s="201" t="s">
        <v>28</v>
      </c>
      <c r="G6" s="201" t="s">
        <v>36</v>
      </c>
      <c r="H6" s="201" t="s">
        <v>37</v>
      </c>
      <c r="I6" s="201" t="s">
        <v>38</v>
      </c>
      <c r="J6" s="201" t="s">
        <v>39</v>
      </c>
      <c r="K6" s="201" t="s">
        <v>29</v>
      </c>
    </row>
    <row r="7" spans="1:11" ht="14.4" x14ac:dyDescent="0.3">
      <c r="A7"/>
      <c r="B7" s="27" t="s">
        <v>5</v>
      </c>
      <c r="C7" s="27" t="s">
        <v>4</v>
      </c>
      <c r="D7" s="27"/>
      <c r="E7" s="27"/>
      <c r="F7" s="27"/>
      <c r="G7" s="27"/>
      <c r="H7" s="27"/>
      <c r="I7" s="27"/>
      <c r="J7" s="27"/>
      <c r="K7" s="27"/>
    </row>
    <row r="8" spans="1:11" ht="14.4" x14ac:dyDescent="0.3">
      <c r="A8"/>
      <c r="B8" s="168" t="s">
        <v>6</v>
      </c>
      <c r="C8" s="96" t="s">
        <v>171</v>
      </c>
      <c r="D8" s="25">
        <f>'[1]8C. Revenue Summary'!$O$9+'[1]8C. Revenue Summary'!$P$9+'[1]8C. Revenue Summary'!$Q$9</f>
        <v>43118417.760000005</v>
      </c>
      <c r="E8" s="25">
        <f>'[1]8C. Revenue Summary'!$O$10+'[1]8C. Revenue Summary'!$P$10+'[1]8C. Revenue Summary'!$Q$10</f>
        <v>58259285.370000005</v>
      </c>
      <c r="F8" s="25">
        <f>'[1]8C. Revenue Summary'!$O$11+'[1]8C. Revenue Summary'!$P$11+'[1]8C. Revenue Summary'!$Q$11</f>
        <v>106885993.61999997</v>
      </c>
      <c r="G8" s="25">
        <f>'[1]8C. Revenue Summary'!$O$12+'[1]8C. Revenue Summary'!$P$12+'[1]8C. Revenue Summary'!$Q$12</f>
        <v>9625384.0800000001</v>
      </c>
      <c r="H8" s="25">
        <f>'[1]8C. Revenue Summary'!$O$13+'[1]8C. Revenue Summary'!$P$13+'[1]8C. Revenue Summary'!$Q$13</f>
        <v>9382555.9799999986</v>
      </c>
      <c r="I8" s="25">
        <f>'[1]8C. Revenue Summary'!$O$14+'[1]8C. Revenue Summary'!$P$14+'[1]8C. Revenue Summary'!$Q$14</f>
        <v>2433548.0699999998</v>
      </c>
      <c r="J8" s="25">
        <f>'[1]8C. Revenue Summary'!$O$15+'[1]8C. Revenue Summary'!$P$15+'[1]8C. Revenue Summary'!$Q$15</f>
        <v>31862076.559999999</v>
      </c>
      <c r="K8" s="140">
        <f>SUM(D8:J8)</f>
        <v>261567261.44</v>
      </c>
    </row>
    <row r="9" spans="1:11" ht="14.4" x14ac:dyDescent="0.3">
      <c r="A9"/>
      <c r="B9" s="168" t="s">
        <v>7</v>
      </c>
      <c r="C9" s="96" t="s">
        <v>172</v>
      </c>
      <c r="D9" s="25"/>
      <c r="E9" s="25"/>
      <c r="F9" s="25"/>
      <c r="G9" s="25"/>
      <c r="H9" s="25"/>
      <c r="I9" s="25"/>
      <c r="J9" s="25"/>
      <c r="K9" s="140">
        <f t="shared" ref="K9:K12" si="0">SUM(D9:J9)</f>
        <v>0</v>
      </c>
    </row>
    <row r="10" spans="1:11" ht="14.4" x14ac:dyDescent="0.3">
      <c r="A10"/>
      <c r="B10" s="168" t="s">
        <v>8</v>
      </c>
      <c r="C10" s="6" t="s">
        <v>173</v>
      </c>
      <c r="D10" s="25"/>
      <c r="E10" s="25"/>
      <c r="F10" s="25"/>
      <c r="G10" s="25"/>
      <c r="H10" s="25"/>
      <c r="I10" s="25"/>
      <c r="J10" s="25"/>
      <c r="K10" s="140">
        <f t="shared" si="0"/>
        <v>0</v>
      </c>
    </row>
    <row r="11" spans="1:11" ht="14.4" x14ac:dyDescent="0.3">
      <c r="A11"/>
      <c r="B11" s="168" t="s">
        <v>9</v>
      </c>
      <c r="C11" s="6" t="s">
        <v>174</v>
      </c>
      <c r="D11" s="25"/>
      <c r="E11" s="25"/>
      <c r="F11" s="25"/>
      <c r="G11" s="25"/>
      <c r="H11" s="25"/>
      <c r="I11" s="25"/>
      <c r="J11" s="25"/>
      <c r="K11" s="140">
        <f t="shared" si="0"/>
        <v>0</v>
      </c>
    </row>
    <row r="12" spans="1:11" ht="14.4" x14ac:dyDescent="0.3">
      <c r="A12"/>
      <c r="B12" s="168" t="s">
        <v>10</v>
      </c>
      <c r="C12" s="6" t="s">
        <v>175</v>
      </c>
      <c r="D12" s="25"/>
      <c r="E12" s="25"/>
      <c r="F12" s="25"/>
      <c r="G12" s="25"/>
      <c r="H12" s="25"/>
      <c r="I12" s="25"/>
      <c r="J12" s="25"/>
      <c r="K12" s="140">
        <f t="shared" si="0"/>
        <v>0</v>
      </c>
    </row>
    <row r="13" spans="1:11" ht="14.4" x14ac:dyDescent="0.3">
      <c r="A13"/>
      <c r="B13" s="168" t="s">
        <v>11</v>
      </c>
      <c r="C13" s="6" t="s">
        <v>176</v>
      </c>
      <c r="D13" s="202"/>
      <c r="E13" s="202"/>
      <c r="F13" s="202"/>
      <c r="G13" s="202"/>
      <c r="H13" s="202"/>
      <c r="I13" s="202"/>
      <c r="J13" s="202"/>
      <c r="K13" s="140">
        <f>K8-K9+K10-K11-K12</f>
        <v>261567261.44</v>
      </c>
    </row>
    <row r="14" spans="1:11" ht="15" thickBot="1" x14ac:dyDescent="0.35">
      <c r="A14"/>
      <c r="B14" s="172" t="s">
        <v>12</v>
      </c>
      <c r="C14" s="138" t="s">
        <v>230</v>
      </c>
      <c r="D14" s="203"/>
      <c r="E14" s="203"/>
      <c r="F14" s="203"/>
      <c r="G14" s="203"/>
      <c r="H14" s="203"/>
      <c r="I14" s="203"/>
      <c r="J14" s="203"/>
      <c r="K14" s="211">
        <f>'Report 4B. SUD RC Calc'!D58</f>
        <v>-18011462.002400119</v>
      </c>
    </row>
    <row r="15" spans="1:11" ht="15" thickTop="1" x14ac:dyDescent="0.3">
      <c r="A15"/>
      <c r="B15" s="183" t="s">
        <v>13</v>
      </c>
      <c r="C15" s="36" t="s">
        <v>231</v>
      </c>
      <c r="D15" s="204"/>
      <c r="E15" s="204"/>
      <c r="F15" s="204"/>
      <c r="G15" s="204"/>
      <c r="H15" s="204"/>
      <c r="I15" s="204"/>
      <c r="J15" s="204"/>
      <c r="K15" s="139">
        <f>K13+K14</f>
        <v>243555799.43759987</v>
      </c>
    </row>
    <row r="16" spans="1:11" ht="14.4" x14ac:dyDescent="0.3">
      <c r="A16"/>
      <c r="B16" s="184" t="s">
        <v>14</v>
      </c>
      <c r="C16" s="96" t="s">
        <v>177</v>
      </c>
      <c r="D16" s="212">
        <f>[2]I!$G$6</f>
        <v>742397</v>
      </c>
      <c r="E16" s="212">
        <f>[2]I!$G$7</f>
        <v>1787643</v>
      </c>
      <c r="F16" s="212">
        <f>[2]I!$G$8</f>
        <v>1305705</v>
      </c>
      <c r="G16" s="212">
        <f>[2]I!$G$9</f>
        <v>268266</v>
      </c>
      <c r="H16" s="212">
        <f>[2]I!$G$10</f>
        <v>53991</v>
      </c>
      <c r="I16" s="212">
        <f>[2]I!$G$11</f>
        <v>116829</v>
      </c>
      <c r="J16" s="212">
        <f>[2]I!$G$12</f>
        <v>231021</v>
      </c>
      <c r="K16" s="213">
        <f>SUM(D16:J16)</f>
        <v>4505852</v>
      </c>
    </row>
    <row r="17" spans="1:11" ht="14.4" x14ac:dyDescent="0.3">
      <c r="A17"/>
      <c r="B17"/>
      <c r="C17"/>
      <c r="D17"/>
      <c r="E17"/>
      <c r="F17"/>
      <c r="G17"/>
      <c r="H17"/>
      <c r="I17"/>
      <c r="J17"/>
      <c r="K17"/>
    </row>
    <row r="18" spans="1:11" ht="14.4" x14ac:dyDescent="0.3">
      <c r="A18"/>
      <c r="B18" s="27" t="s">
        <v>5</v>
      </c>
      <c r="C18" s="97" t="s">
        <v>30</v>
      </c>
      <c r="D18" s="27"/>
      <c r="E18" s="27"/>
      <c r="F18" s="27"/>
      <c r="G18" s="27"/>
      <c r="H18" s="27"/>
      <c r="I18" s="27"/>
      <c r="J18" s="27"/>
      <c r="K18" s="27"/>
    </row>
    <row r="19" spans="1:11" ht="14.4" x14ac:dyDescent="0.3">
      <c r="A19"/>
      <c r="B19" s="181" t="s">
        <v>232</v>
      </c>
      <c r="C19" s="1" t="s">
        <v>233</v>
      </c>
      <c r="D19" s="26">
        <f>'[2]J &amp; L'!$G$6</f>
        <v>27746792.600000199</v>
      </c>
      <c r="E19" s="26">
        <f>'[2]J &amp; L'!$G$7</f>
        <v>49519762.469998889</v>
      </c>
      <c r="F19" s="26">
        <f>'[2]J &amp; L'!$G$8</f>
        <v>75565072.809999749</v>
      </c>
      <c r="G19" s="26">
        <f>'[2]J &amp; L'!$G$9</f>
        <v>6578634.3199999928</v>
      </c>
      <c r="H19" s="26">
        <f>'[2]J &amp; L'!$G$10</f>
        <v>8960934.9099999927</v>
      </c>
      <c r="I19" s="26">
        <f>'[2]J &amp; L'!$G$11</f>
        <v>1976974.9</v>
      </c>
      <c r="J19" s="26">
        <f>'[2]J &amp; L'!$G$12</f>
        <v>29279327.840000134</v>
      </c>
      <c r="K19" s="26">
        <f t="shared" ref="K19:K30" si="1">SUM(D19,E19,F19,G19,H19,I19,J19)</f>
        <v>199627499.84999895</v>
      </c>
    </row>
    <row r="20" spans="1:11" ht="14.4" x14ac:dyDescent="0.3">
      <c r="A20"/>
      <c r="B20" s="181" t="s">
        <v>234</v>
      </c>
      <c r="C20" s="1" t="s">
        <v>235</v>
      </c>
      <c r="D20" s="25"/>
      <c r="E20" s="25"/>
      <c r="F20" s="25"/>
      <c r="G20" s="25"/>
      <c r="H20" s="25"/>
      <c r="I20" s="25"/>
      <c r="J20" s="25"/>
      <c r="K20" s="26">
        <f t="shared" si="1"/>
        <v>0</v>
      </c>
    </row>
    <row r="21" spans="1:11" ht="14.4" x14ac:dyDescent="0.3">
      <c r="A21"/>
      <c r="B21" s="181" t="s">
        <v>19</v>
      </c>
      <c r="C21" s="1" t="s">
        <v>2</v>
      </c>
      <c r="D21" s="26">
        <f>+'[3]J &amp; L'!$G$18</f>
        <v>246465.57385683554</v>
      </c>
      <c r="E21" s="26">
        <f>+'[3]J &amp; L'!$G$19</f>
        <v>439867.65787200839</v>
      </c>
      <c r="F21" s="26">
        <f>+'[3]J &amp; L'!$G$20</f>
        <v>671219.5280419552</v>
      </c>
      <c r="G21" s="26">
        <f>+'[3]J &amp; L'!$G$21</f>
        <v>58435.83098945496</v>
      </c>
      <c r="H21" s="26">
        <f>+'[3]J &amp; L'!$G$22</f>
        <v>79597.018535644485</v>
      </c>
      <c r="I21" s="26">
        <f>+'[3]J &amp; L'!$G$23</f>
        <v>17560.81361378888</v>
      </c>
      <c r="J21" s="26">
        <f>+'[3]J &amp; L'!$G$24</f>
        <v>260078.57709031209</v>
      </c>
      <c r="K21" s="26">
        <f t="shared" si="1"/>
        <v>1773224.9999999993</v>
      </c>
    </row>
    <row r="22" spans="1:11" ht="14.4" x14ac:dyDescent="0.3">
      <c r="A22"/>
      <c r="B22" s="181" t="s">
        <v>16</v>
      </c>
      <c r="C22" s="1" t="s">
        <v>236</v>
      </c>
      <c r="D22" s="26">
        <f>[2]M!$G$9</f>
        <v>1393025.0193297782</v>
      </c>
      <c r="E22" s="26">
        <f>[2]M!$G$10</f>
        <v>2486134.8504827088</v>
      </c>
      <c r="F22" s="26">
        <f>[2]M!$G$11</f>
        <v>3793737.118711344</v>
      </c>
      <c r="G22" s="26">
        <f>[2]M!$G$12</f>
        <v>330279.69513065321</v>
      </c>
      <c r="H22" s="26">
        <f>[2]M!$G$13</f>
        <v>449882.86416266841</v>
      </c>
      <c r="I22" s="26">
        <f>[2]M!$G$14</f>
        <v>99253.832253280547</v>
      </c>
      <c r="J22" s="26">
        <f>[2]M!$G$15</f>
        <v>1469965.801751039</v>
      </c>
      <c r="K22" s="26">
        <f t="shared" si="1"/>
        <v>10022279.181821473</v>
      </c>
    </row>
    <row r="23" spans="1:11" ht="14.4" x14ac:dyDescent="0.3">
      <c r="A23"/>
      <c r="B23" s="181" t="s">
        <v>15</v>
      </c>
      <c r="C23" s="1" t="s">
        <v>0</v>
      </c>
      <c r="D23" s="26"/>
      <c r="E23" s="26"/>
      <c r="F23" s="26"/>
      <c r="G23" s="26"/>
      <c r="H23" s="26"/>
      <c r="I23" s="26"/>
      <c r="J23" s="26"/>
      <c r="K23" s="26">
        <f t="shared" si="1"/>
        <v>0</v>
      </c>
    </row>
    <row r="24" spans="1:11" ht="14.4" x14ac:dyDescent="0.3">
      <c r="A24"/>
      <c r="B24" s="181" t="s">
        <v>17</v>
      </c>
      <c r="C24" s="1" t="s">
        <v>237</v>
      </c>
      <c r="D24" s="26"/>
      <c r="E24" s="26"/>
      <c r="F24" s="26"/>
      <c r="G24" s="26"/>
      <c r="H24" s="26"/>
      <c r="I24" s="26"/>
      <c r="J24" s="26"/>
      <c r="K24" s="26"/>
    </row>
    <row r="25" spans="1:11" ht="14.4" x14ac:dyDescent="0.3">
      <c r="A25"/>
      <c r="B25" s="181" t="s">
        <v>18</v>
      </c>
      <c r="C25" s="30" t="s">
        <v>238</v>
      </c>
      <c r="D25" s="26">
        <f>'[2]P &amp; Q'!$G$5</f>
        <v>283317.88987913751</v>
      </c>
      <c r="E25" s="26">
        <f>'[2]P &amp; Q'!$G$6</f>
        <v>505638.06824706978</v>
      </c>
      <c r="F25" s="26">
        <f>'[2]P &amp; Q'!$G$7</f>
        <v>771582.40542340605</v>
      </c>
      <c r="G25" s="26">
        <f>'[2]P &amp; Q'!$G$8</f>
        <v>67173.342184020905</v>
      </c>
      <c r="H25" s="26">
        <f>'[2]P &amp; Q'!$G$9</f>
        <v>91498.617755389801</v>
      </c>
      <c r="I25" s="26">
        <f>'[2]P &amp; Q'!$G$10</f>
        <v>20186.562284392279</v>
      </c>
      <c r="J25" s="26">
        <f>'[2]P &amp; Q'!$G$11</f>
        <v>298966.35262658296</v>
      </c>
      <c r="K25" s="26">
        <f t="shared" si="1"/>
        <v>2038363.2383999992</v>
      </c>
    </row>
    <row r="26" spans="1:11" ht="14.4" x14ac:dyDescent="0.3">
      <c r="A26"/>
      <c r="B26" s="181" t="s">
        <v>94</v>
      </c>
      <c r="C26" s="30" t="s">
        <v>239</v>
      </c>
      <c r="D26" s="26">
        <f>'[2]P &amp; Q'!$G$15</f>
        <v>124850.07325950937</v>
      </c>
      <c r="E26" s="26">
        <f>'[2]P &amp; Q'!$G$16</f>
        <v>222820.20344840939</v>
      </c>
      <c r="F26" s="26">
        <f>'[2]P &amp; Q'!$G$17</f>
        <v>340014.25001420028</v>
      </c>
      <c r="G26" s="26">
        <f>'[2]P &amp; Q'!$G$18</f>
        <v>29601.366494501272</v>
      </c>
      <c r="H26" s="26">
        <f>'[2]P &amp; Q'!$G$19</f>
        <v>40320.818197458473</v>
      </c>
      <c r="I26" s="26">
        <f>'[2]P &amp; Q'!$G$20</f>
        <v>8895.6393863415196</v>
      </c>
      <c r="J26" s="26">
        <f>'[2]P &amp; Q'!$G$21</f>
        <v>131745.90225657949</v>
      </c>
      <c r="K26" s="26">
        <f t="shared" si="1"/>
        <v>898248.25305699976</v>
      </c>
    </row>
    <row r="27" spans="1:11" ht="14.4" x14ac:dyDescent="0.3">
      <c r="A27"/>
      <c r="B27" s="181" t="s">
        <v>95</v>
      </c>
      <c r="C27" s="30" t="s">
        <v>240</v>
      </c>
      <c r="D27" s="26"/>
      <c r="E27" s="26"/>
      <c r="F27" s="26"/>
      <c r="G27" s="26"/>
      <c r="H27" s="26"/>
      <c r="I27" s="26"/>
      <c r="J27" s="26"/>
      <c r="K27" s="26">
        <f t="shared" si="1"/>
        <v>0</v>
      </c>
    </row>
    <row r="28" spans="1:11" ht="14.4" x14ac:dyDescent="0.3">
      <c r="A28"/>
      <c r="B28" s="182" t="s">
        <v>96</v>
      </c>
      <c r="C28" s="30" t="s">
        <v>212</v>
      </c>
      <c r="D28" s="26"/>
      <c r="E28" s="26"/>
      <c r="F28" s="26"/>
      <c r="G28" s="26"/>
      <c r="H28" s="26"/>
      <c r="I28" s="26"/>
      <c r="J28" s="26"/>
      <c r="K28" s="26">
        <f t="shared" si="1"/>
        <v>0</v>
      </c>
    </row>
    <row r="29" spans="1:11" ht="14.4" x14ac:dyDescent="0.3">
      <c r="A29"/>
      <c r="B29" s="182" t="s">
        <v>241</v>
      </c>
      <c r="C29" s="30" t="s">
        <v>242</v>
      </c>
      <c r="D29" s="26"/>
      <c r="E29" s="26"/>
      <c r="F29" s="26"/>
      <c r="G29" s="26"/>
      <c r="H29" s="26"/>
      <c r="I29" s="26"/>
      <c r="J29" s="26"/>
      <c r="K29" s="26">
        <f t="shared" si="1"/>
        <v>0</v>
      </c>
    </row>
    <row r="30" spans="1:11" ht="14.4" x14ac:dyDescent="0.3">
      <c r="A30"/>
      <c r="B30" s="182" t="s">
        <v>243</v>
      </c>
      <c r="C30" s="30" t="s">
        <v>244</v>
      </c>
      <c r="D30" s="26"/>
      <c r="E30" s="26"/>
      <c r="F30" s="26"/>
      <c r="G30" s="26"/>
      <c r="H30" s="26"/>
      <c r="I30" s="26"/>
      <c r="J30" s="26"/>
      <c r="K30" s="26">
        <f t="shared" si="1"/>
        <v>0</v>
      </c>
    </row>
    <row r="31" spans="1:11" ht="27.6" x14ac:dyDescent="0.3">
      <c r="A31"/>
      <c r="B31" s="181" t="s">
        <v>245</v>
      </c>
      <c r="C31" s="1" t="s">
        <v>246</v>
      </c>
      <c r="D31" s="2">
        <f t="shared" ref="D31:K31" si="2">SUM(D19:D30)</f>
        <v>29794451.156325459</v>
      </c>
      <c r="E31" s="2">
        <f t="shared" si="2"/>
        <v>53174223.250049084</v>
      </c>
      <c r="F31" s="2">
        <f t="shared" si="2"/>
        <v>81141626.112190649</v>
      </c>
      <c r="G31" s="2">
        <f t="shared" si="2"/>
        <v>7064124.5547986226</v>
      </c>
      <c r="H31" s="2">
        <f t="shared" si="2"/>
        <v>9622234.2286511548</v>
      </c>
      <c r="I31" s="2">
        <f t="shared" si="2"/>
        <v>2122871.7475378029</v>
      </c>
      <c r="J31" s="2">
        <f t="shared" si="2"/>
        <v>31440084.473724648</v>
      </c>
      <c r="K31" s="2">
        <f t="shared" si="2"/>
        <v>214359615.52327743</v>
      </c>
    </row>
    <row r="32" spans="1:11" ht="14.4" x14ac:dyDescent="0.3">
      <c r="A32"/>
      <c r="B32" s="181" t="s">
        <v>247</v>
      </c>
      <c r="C32" s="64" t="s">
        <v>248</v>
      </c>
      <c r="D32" s="205"/>
      <c r="E32" s="205"/>
      <c r="F32" s="205"/>
      <c r="G32" s="205"/>
      <c r="H32" s="205"/>
      <c r="I32" s="205"/>
      <c r="J32" s="205"/>
      <c r="K32" s="3">
        <f>IF(K15=0,0,K31/K15)</f>
        <v>0.88012527732150092</v>
      </c>
    </row>
    <row r="33" spans="1:11" ht="14.4" x14ac:dyDescent="0.3">
      <c r="A33"/>
      <c r="B33" s="181" t="s">
        <v>249</v>
      </c>
      <c r="C33" s="1" t="s">
        <v>103</v>
      </c>
      <c r="D33" s="185"/>
      <c r="E33" s="185"/>
      <c r="F33" s="185"/>
      <c r="G33" s="185"/>
      <c r="H33" s="185"/>
      <c r="I33" s="185"/>
      <c r="J33" s="185"/>
      <c r="K33" s="194">
        <f ca="1">IF(K16=0,0,'Credibility Table'!C17)</f>
        <v>0</v>
      </c>
    </row>
    <row r="34" spans="1:11" ht="14.4" x14ac:dyDescent="0.3">
      <c r="A34"/>
      <c r="B34" s="181" t="s">
        <v>250</v>
      </c>
      <c r="C34" s="1" t="s">
        <v>251</v>
      </c>
      <c r="D34" s="206"/>
      <c r="E34" s="206"/>
      <c r="F34" s="206"/>
      <c r="G34" s="206"/>
      <c r="H34" s="206"/>
      <c r="I34" s="206"/>
      <c r="J34" s="206"/>
      <c r="K34" s="186">
        <f ca="1">IF(ISTEXT(K33),K33,K32+K33)</f>
        <v>0.88012527732150092</v>
      </c>
    </row>
    <row r="35" spans="1:11" ht="14.4" x14ac:dyDescent="0.3">
      <c r="A35"/>
      <c r="B35" s="181" t="s">
        <v>252</v>
      </c>
      <c r="C35" s="1" t="s">
        <v>1</v>
      </c>
      <c r="D35" s="206"/>
      <c r="E35" s="206"/>
      <c r="F35" s="206"/>
      <c r="G35" s="206"/>
      <c r="H35" s="206"/>
      <c r="I35" s="206"/>
      <c r="J35" s="206"/>
      <c r="K35" s="187">
        <v>0.89</v>
      </c>
    </row>
    <row r="36" spans="1:11" ht="14.4" x14ac:dyDescent="0.3">
      <c r="A36"/>
      <c r="B36" s="181" t="s">
        <v>253</v>
      </c>
      <c r="C36" s="1" t="s">
        <v>254</v>
      </c>
      <c r="D36" s="206"/>
      <c r="E36" s="206"/>
      <c r="F36" s="206"/>
      <c r="G36" s="206"/>
      <c r="H36" s="206"/>
      <c r="I36" s="206"/>
      <c r="J36" s="206"/>
      <c r="K36" s="187">
        <f>SUMIFS('Report 2. MLR Quality Metrics'!$D$12:$D$15,'Report 2. MLR Quality Metrics'!$E$12:$E$15,"Yes")</f>
        <v>0.04</v>
      </c>
    </row>
    <row r="37" spans="1:11" ht="14.4" x14ac:dyDescent="0.3">
      <c r="A37"/>
      <c r="B37" s="181" t="s">
        <v>255</v>
      </c>
      <c r="C37" s="30" t="s">
        <v>256</v>
      </c>
      <c r="D37" s="207"/>
      <c r="E37" s="207"/>
      <c r="F37" s="207"/>
      <c r="G37" s="207"/>
      <c r="H37" s="207"/>
      <c r="I37" s="207"/>
      <c r="J37" s="207"/>
      <c r="K37" s="188">
        <f>K35-K36</f>
        <v>0.85</v>
      </c>
    </row>
    <row r="38" spans="1:11" ht="15" thickBot="1" x14ac:dyDescent="0.35">
      <c r="A38"/>
      <c r="B38" s="189" t="s">
        <v>257</v>
      </c>
      <c r="C38" s="190" t="s">
        <v>258</v>
      </c>
      <c r="D38" s="208"/>
      <c r="E38" s="208"/>
      <c r="F38" s="208"/>
      <c r="G38" s="208"/>
      <c r="H38" s="208"/>
      <c r="I38" s="208"/>
      <c r="J38" s="208"/>
      <c r="K38" s="4">
        <f ca="1">IF(ISTEXT(K33),K33,IF(K37-K34&lt;0,0,K37-K34))</f>
        <v>0</v>
      </c>
    </row>
    <row r="39" spans="1:11" ht="15" thickTop="1" x14ac:dyDescent="0.3">
      <c r="A39"/>
      <c r="B39" s="191" t="s">
        <v>259</v>
      </c>
      <c r="C39" s="192" t="s">
        <v>260</v>
      </c>
      <c r="D39" s="193"/>
      <c r="E39" s="193"/>
      <c r="F39" s="193"/>
      <c r="G39" s="193"/>
      <c r="H39" s="193"/>
      <c r="I39" s="193"/>
      <c r="J39" s="193"/>
      <c r="K39" s="210">
        <f ca="1">IF(ISTEXT(K33),"Not Credible",IF(K38=0,0,K15-((K31+K15*K33)/K37)))</f>
        <v>0</v>
      </c>
    </row>
    <row r="40" spans="1:11" ht="14.4" x14ac:dyDescent="0.3">
      <c r="A40"/>
    </row>
    <row r="41" spans="1:11" ht="12.75" customHeight="1" x14ac:dyDescent="0.3">
      <c r="B41" s="195" t="s">
        <v>261</v>
      </c>
      <c r="C41" s="196"/>
      <c r="D41" s="197"/>
      <c r="E41" s="197"/>
      <c r="F41" s="197"/>
      <c r="G41" s="197"/>
      <c r="H41" s="197"/>
      <c r="I41" s="197"/>
      <c r="J41" s="197"/>
      <c r="K41" s="197"/>
    </row>
    <row r="42" spans="1:11" ht="14.4" x14ac:dyDescent="0.3">
      <c r="A42"/>
      <c r="B42" s="215" t="s">
        <v>279</v>
      </c>
      <c r="C42" s="216"/>
      <c r="D42" s="216"/>
      <c r="E42" s="216"/>
      <c r="F42" s="216"/>
      <c r="G42" s="216"/>
      <c r="H42" s="216"/>
      <c r="I42" s="216"/>
      <c r="J42" s="216"/>
      <c r="K42" s="217"/>
    </row>
    <row r="43" spans="1:11" ht="14.4" x14ac:dyDescent="0.3">
      <c r="A43"/>
      <c r="B43" s="218"/>
      <c r="C43" s="219"/>
      <c r="D43" s="219"/>
      <c r="E43" s="219"/>
      <c r="F43" s="219"/>
      <c r="G43" s="219"/>
      <c r="H43" s="219"/>
      <c r="I43" s="219"/>
      <c r="J43" s="219"/>
      <c r="K43" s="220"/>
    </row>
    <row r="44" spans="1:11" ht="14.4" x14ac:dyDescent="0.3">
      <c r="A44"/>
      <c r="B44" s="218"/>
      <c r="C44" s="219"/>
      <c r="D44" s="219"/>
      <c r="E44" s="219"/>
      <c r="F44" s="219"/>
      <c r="G44" s="219"/>
      <c r="H44" s="219"/>
      <c r="I44" s="219"/>
      <c r="J44" s="219"/>
      <c r="K44" s="220"/>
    </row>
    <row r="45" spans="1:11" ht="14.4" x14ac:dyDescent="0.3">
      <c r="A45"/>
      <c r="B45" s="218"/>
      <c r="C45" s="219"/>
      <c r="D45" s="219"/>
      <c r="E45" s="219"/>
      <c r="F45" s="219"/>
      <c r="G45" s="219"/>
      <c r="H45" s="219"/>
      <c r="I45" s="219"/>
      <c r="J45" s="219"/>
      <c r="K45" s="220"/>
    </row>
    <row r="46" spans="1:11" ht="14.4" x14ac:dyDescent="0.3">
      <c r="A46"/>
      <c r="B46" s="218"/>
      <c r="C46" s="219"/>
      <c r="D46" s="219"/>
      <c r="E46" s="219"/>
      <c r="F46" s="219"/>
      <c r="G46" s="219"/>
      <c r="H46" s="219"/>
      <c r="I46" s="219"/>
      <c r="J46" s="219"/>
      <c r="K46" s="220"/>
    </row>
    <row r="47" spans="1:11" ht="14.4" x14ac:dyDescent="0.3">
      <c r="A47"/>
      <c r="B47" s="221"/>
      <c r="C47" s="222"/>
      <c r="D47" s="222"/>
      <c r="E47" s="222"/>
      <c r="F47" s="222"/>
      <c r="G47" s="222"/>
      <c r="H47" s="222"/>
      <c r="I47" s="222"/>
      <c r="J47" s="222"/>
      <c r="K47" s="223"/>
    </row>
    <row r="49" spans="2:11" ht="27.6" x14ac:dyDescent="0.3">
      <c r="B49" s="195" t="s">
        <v>262</v>
      </c>
      <c r="C49" s="196"/>
      <c r="D49" s="197"/>
      <c r="E49" s="197"/>
      <c r="F49" s="197"/>
      <c r="G49" s="197"/>
      <c r="H49" s="197"/>
      <c r="I49" s="197"/>
      <c r="J49" s="197"/>
      <c r="K49" s="197"/>
    </row>
    <row r="50" spans="2:11" x14ac:dyDescent="0.3">
      <c r="B50" s="224"/>
      <c r="C50" s="225"/>
      <c r="D50" s="225"/>
      <c r="E50" s="225"/>
      <c r="F50" s="225"/>
      <c r="G50" s="225"/>
      <c r="H50" s="225"/>
      <c r="I50" s="225"/>
      <c r="J50" s="225"/>
      <c r="K50" s="226"/>
    </row>
    <row r="51" spans="2:11" x14ac:dyDescent="0.3">
      <c r="B51" s="227"/>
      <c r="C51" s="228"/>
      <c r="D51" s="228"/>
      <c r="E51" s="228"/>
      <c r="F51" s="228"/>
      <c r="G51" s="228"/>
      <c r="H51" s="228"/>
      <c r="I51" s="228"/>
      <c r="J51" s="228"/>
      <c r="K51" s="229"/>
    </row>
    <row r="52" spans="2:11" x14ac:dyDescent="0.3">
      <c r="B52" s="227"/>
      <c r="C52" s="228"/>
      <c r="D52" s="228"/>
      <c r="E52" s="228"/>
      <c r="F52" s="228"/>
      <c r="G52" s="228"/>
      <c r="H52" s="228"/>
      <c r="I52" s="228"/>
      <c r="J52" s="228"/>
      <c r="K52" s="229"/>
    </row>
    <row r="53" spans="2:11" x14ac:dyDescent="0.3">
      <c r="B53" s="227"/>
      <c r="C53" s="228"/>
      <c r="D53" s="228"/>
      <c r="E53" s="228"/>
      <c r="F53" s="228"/>
      <c r="G53" s="228"/>
      <c r="H53" s="228"/>
      <c r="I53" s="228"/>
      <c r="J53" s="228"/>
      <c r="K53" s="229"/>
    </row>
    <row r="54" spans="2:11" x14ac:dyDescent="0.3">
      <c r="B54" s="227"/>
      <c r="C54" s="228"/>
      <c r="D54" s="228"/>
      <c r="E54" s="228"/>
      <c r="F54" s="228"/>
      <c r="G54" s="228"/>
      <c r="H54" s="228"/>
      <c r="I54" s="228"/>
      <c r="J54" s="228"/>
      <c r="K54" s="229"/>
    </row>
    <row r="55" spans="2:11" x14ac:dyDescent="0.3">
      <c r="B55" s="230"/>
      <c r="C55" s="231"/>
      <c r="D55" s="231"/>
      <c r="E55" s="231"/>
      <c r="F55" s="231"/>
      <c r="G55" s="231"/>
      <c r="H55" s="231"/>
      <c r="I55" s="231"/>
      <c r="J55" s="231"/>
      <c r="K55" s="232"/>
    </row>
  </sheetData>
  <protectedRanges>
    <protectedRange sqref="B42:K47" name="Range1"/>
  </protectedRanges>
  <mergeCells count="2">
    <mergeCell ref="B42:K47"/>
    <mergeCell ref="B50:K55"/>
  </mergeCells>
  <printOptions horizontalCentered="1"/>
  <pageMargins left="0.5" right="0.5" top="0.5" bottom="0.5" header="0.3" footer="0.3"/>
  <pageSetup scale="83" fitToWidth="8" orientation="portrait" r:id="rId1"/>
  <headerFooter>
    <oddHeader>&amp;LCO HCPF - BH&amp;RDraft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D3B8-7473-4148-937E-1B321152F211}">
  <sheetPr>
    <pageSetUpPr autoPageBreaks="0"/>
  </sheetPr>
  <dimension ref="B2:E15"/>
  <sheetViews>
    <sheetView showGridLines="0" workbookViewId="0">
      <selection activeCell="F9" sqref="F9"/>
    </sheetView>
  </sheetViews>
  <sheetFormatPr defaultColWidth="8.77734375" defaultRowHeight="13.8" x14ac:dyDescent="0.3"/>
  <cols>
    <col min="1" max="1" width="1.5546875" style="5" customWidth="1"/>
    <col min="2" max="2" width="10.5546875" style="5" bestFit="1" customWidth="1"/>
    <col min="3" max="3" width="62.77734375" style="155" customWidth="1"/>
    <col min="4" max="4" width="10.5546875" style="141" customWidth="1"/>
    <col min="5" max="5" width="12.21875" style="141" customWidth="1"/>
    <col min="6" max="16384" width="8.77734375" style="5"/>
  </cols>
  <sheetData>
    <row r="2" spans="2:5" x14ac:dyDescent="0.3">
      <c r="B2" s="9" t="s">
        <v>69</v>
      </c>
      <c r="C2" s="10" t="str">
        <f>Overview!C11</f>
        <v>Colorado Access</v>
      </c>
      <c r="D2" s="5"/>
    </row>
    <row r="3" spans="2:5" x14ac:dyDescent="0.3">
      <c r="B3" s="9" t="s">
        <v>71</v>
      </c>
      <c r="C3" s="10" t="str">
        <f>Overview!$C$12</f>
        <v>Region 3</v>
      </c>
      <c r="D3" s="5"/>
    </row>
    <row r="4" spans="2:5" x14ac:dyDescent="0.3">
      <c r="B4" s="9" t="s">
        <v>20</v>
      </c>
      <c r="C4" s="11" t="s">
        <v>117</v>
      </c>
      <c r="D4" s="5"/>
    </row>
    <row r="5" spans="2:5" x14ac:dyDescent="0.3">
      <c r="B5" s="9" t="s">
        <v>21</v>
      </c>
      <c r="C5" s="10" t="str">
        <f>Overview!C13</f>
        <v>July 1, 2022 - June 30, 2023</v>
      </c>
      <c r="D5" s="5"/>
    </row>
    <row r="6" spans="2:5" x14ac:dyDescent="0.3">
      <c r="C6" s="5"/>
      <c r="D6" s="5"/>
    </row>
    <row r="7" spans="2:5" ht="14.4" thickBot="1" x14ac:dyDescent="0.35">
      <c r="B7" s="49" t="s">
        <v>178</v>
      </c>
      <c r="C7" s="5"/>
    </row>
    <row r="8" spans="2:5" x14ac:dyDescent="0.3">
      <c r="B8" s="142" t="s">
        <v>179</v>
      </c>
      <c r="C8" s="143"/>
      <c r="D8" s="143"/>
      <c r="E8" s="144"/>
    </row>
    <row r="9" spans="2:5" ht="14.4" thickBot="1" x14ac:dyDescent="0.35">
      <c r="B9" s="145" t="s">
        <v>180</v>
      </c>
      <c r="C9" s="146"/>
      <c r="D9" s="146"/>
      <c r="E9" s="147"/>
    </row>
    <row r="11" spans="2:5" x14ac:dyDescent="0.3">
      <c r="B11" s="148" t="s">
        <v>181</v>
      </c>
      <c r="C11" s="149" t="s">
        <v>182</v>
      </c>
      <c r="D11" s="148" t="s">
        <v>92</v>
      </c>
      <c r="E11" s="148" t="s">
        <v>183</v>
      </c>
    </row>
    <row r="12" spans="2:5" s="154" customFormat="1" x14ac:dyDescent="0.3">
      <c r="B12" s="150">
        <v>1</v>
      </c>
      <c r="C12" s="151" t="s">
        <v>184</v>
      </c>
      <c r="D12" s="152">
        <v>0.01</v>
      </c>
      <c r="E12" s="153" t="s">
        <v>275</v>
      </c>
    </row>
    <row r="13" spans="2:5" s="154" customFormat="1" x14ac:dyDescent="0.3">
      <c r="B13" s="150">
        <v>2</v>
      </c>
      <c r="C13" s="151" t="s">
        <v>184</v>
      </c>
      <c r="D13" s="152">
        <v>0.01</v>
      </c>
      <c r="E13" s="153" t="s">
        <v>275</v>
      </c>
    </row>
    <row r="14" spans="2:5" s="154" customFormat="1" x14ac:dyDescent="0.3">
      <c r="B14" s="150">
        <v>3</v>
      </c>
      <c r="C14" s="151" t="s">
        <v>184</v>
      </c>
      <c r="D14" s="152">
        <v>0.01</v>
      </c>
      <c r="E14" s="153" t="s">
        <v>275</v>
      </c>
    </row>
    <row r="15" spans="2:5" s="154" customFormat="1" x14ac:dyDescent="0.3">
      <c r="B15" s="150">
        <v>4</v>
      </c>
      <c r="C15" s="151" t="s">
        <v>184</v>
      </c>
      <c r="D15" s="152">
        <v>0.01</v>
      </c>
      <c r="E15" s="153" t="s">
        <v>275</v>
      </c>
    </row>
  </sheetData>
  <dataValidations count="1">
    <dataValidation type="list" allowBlank="1" showInputMessage="1" showErrorMessage="1" sqref="E12:E15" xr:uid="{B48B43F0-B37F-4313-A1BB-EFEA10310469}">
      <formula1>"Yes, No"</formula1>
    </dataValidation>
  </dataValidations>
  <pageMargins left="0.5" right="0.5" top="0.5" bottom="0.5" header="0.3" footer="0.3"/>
  <pageSetup orientation="portrait" horizontalDpi="300" verticalDpi="300" r:id="rId1"/>
  <headerFooter>
    <oddHeader>&amp;LCO HCPF - BH&amp;RDraft and Confidential</oddHeader>
    <oddFooter>&amp;L&amp;F | &amp;A&amp;R&amp;G</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3B9C-113C-47BF-BE84-91FCFAF3D52B}">
  <sheetPr>
    <pageSetUpPr autoPageBreaks="0"/>
  </sheetPr>
  <dimension ref="A2:J66"/>
  <sheetViews>
    <sheetView showGridLines="0" topLeftCell="A3" zoomScaleNormal="100" workbookViewId="0">
      <selection activeCell="G43" sqref="G42:G43"/>
    </sheetView>
  </sheetViews>
  <sheetFormatPr defaultColWidth="8.77734375" defaultRowHeight="13.8" x14ac:dyDescent="0.3"/>
  <cols>
    <col min="1" max="1" width="1.5546875" style="5" customWidth="1"/>
    <col min="2" max="2" width="11.44140625" style="155" customWidth="1"/>
    <col min="3" max="3" width="67.21875" style="141" customWidth="1"/>
    <col min="4" max="4" width="12.77734375" style="5" customWidth="1"/>
    <col min="5" max="16384" width="8.77734375" style="5"/>
  </cols>
  <sheetData>
    <row r="2" spans="1:10" x14ac:dyDescent="0.3">
      <c r="B2" s="9" t="s">
        <v>69</v>
      </c>
      <c r="C2" s="10" t="str">
        <f>Overview!C11</f>
        <v>Colorado Access</v>
      </c>
      <c r="E2" s="141"/>
    </row>
    <row r="3" spans="1:10" x14ac:dyDescent="0.3">
      <c r="B3" s="9" t="s">
        <v>71</v>
      </c>
      <c r="C3" s="10" t="str">
        <f>Overview!$C$12</f>
        <v>Region 3</v>
      </c>
      <c r="E3" s="141"/>
    </row>
    <row r="4" spans="1:10" x14ac:dyDescent="0.3">
      <c r="B4" s="9" t="s">
        <v>20</v>
      </c>
      <c r="C4" s="11" t="s">
        <v>93</v>
      </c>
      <c r="E4" s="141"/>
    </row>
    <row r="5" spans="1:10" x14ac:dyDescent="0.3">
      <c r="B5" s="9" t="s">
        <v>21</v>
      </c>
      <c r="C5" s="10" t="str">
        <f>Overview!C13</f>
        <v>July 1, 2022 - June 30, 2023</v>
      </c>
      <c r="E5" s="141"/>
    </row>
    <row r="6" spans="1:10" x14ac:dyDescent="0.3">
      <c r="B6" s="9"/>
      <c r="C6" s="10"/>
      <c r="E6" s="141"/>
    </row>
    <row r="7" spans="1:10" ht="15" thickBot="1" x14ac:dyDescent="0.35">
      <c r="A7" s="49"/>
      <c r="B7" s="49" t="s">
        <v>185</v>
      </c>
      <c r="G7"/>
      <c r="H7"/>
      <c r="I7"/>
      <c r="J7"/>
    </row>
    <row r="8" spans="1:10" ht="14.4" x14ac:dyDescent="0.3">
      <c r="A8" s="49"/>
      <c r="B8" s="156" t="s">
        <v>186</v>
      </c>
      <c r="C8" s="157"/>
      <c r="D8" s="158"/>
      <c r="G8"/>
      <c r="H8"/>
      <c r="I8"/>
      <c r="J8"/>
    </row>
    <row r="9" spans="1:10" ht="14.4" x14ac:dyDescent="0.3">
      <c r="A9" s="49"/>
      <c r="B9" s="159" t="s">
        <v>187</v>
      </c>
      <c r="D9" s="160"/>
      <c r="G9"/>
      <c r="H9"/>
      <c r="I9"/>
      <c r="J9"/>
    </row>
    <row r="10" spans="1:10" ht="14.4" x14ac:dyDescent="0.3">
      <c r="A10" s="49"/>
      <c r="B10" s="159"/>
      <c r="D10" s="160"/>
      <c r="H10"/>
      <c r="I10"/>
      <c r="J10"/>
    </row>
    <row r="11" spans="1:10" ht="14.4" x14ac:dyDescent="0.3">
      <c r="A11" s="49"/>
      <c r="B11" s="161" t="s">
        <v>188</v>
      </c>
      <c r="D11" s="160"/>
      <c r="H11"/>
      <c r="I11"/>
      <c r="J11"/>
    </row>
    <row r="12" spans="1:10" ht="14.4" x14ac:dyDescent="0.3">
      <c r="A12" s="49"/>
      <c r="B12" s="159" t="s">
        <v>189</v>
      </c>
      <c r="D12" s="160"/>
      <c r="H12"/>
      <c r="I12"/>
      <c r="J12"/>
    </row>
    <row r="13" spans="1:10" ht="14.4" x14ac:dyDescent="0.3">
      <c r="A13" s="49"/>
      <c r="B13" s="159" t="s">
        <v>190</v>
      </c>
      <c r="D13" s="160"/>
      <c r="H13"/>
      <c r="I13"/>
      <c r="J13"/>
    </row>
    <row r="14" spans="1:10" x14ac:dyDescent="0.3">
      <c r="A14" s="49"/>
      <c r="B14" s="159" t="s">
        <v>191</v>
      </c>
      <c r="D14" s="160"/>
    </row>
    <row r="15" spans="1:10" ht="14.4" thickBot="1" x14ac:dyDescent="0.35">
      <c r="A15" s="49"/>
      <c r="B15" s="162" t="s">
        <v>192</v>
      </c>
      <c r="C15" s="163"/>
      <c r="D15" s="164"/>
    </row>
    <row r="16" spans="1:10" x14ac:dyDescent="0.3">
      <c r="A16" s="49"/>
      <c r="B16" s="5"/>
    </row>
    <row r="17" spans="2:4" x14ac:dyDescent="0.3">
      <c r="B17" s="118" t="s">
        <v>5</v>
      </c>
      <c r="C17" s="118" t="s">
        <v>193</v>
      </c>
      <c r="D17" s="118"/>
    </row>
    <row r="18" spans="2:4" x14ac:dyDescent="0.3">
      <c r="B18" s="165" t="s">
        <v>194</v>
      </c>
      <c r="C18" s="166"/>
      <c r="D18" s="167"/>
    </row>
    <row r="19" spans="2:4" x14ac:dyDescent="0.3">
      <c r="B19" s="168">
        <v>1</v>
      </c>
      <c r="C19" s="169" t="s">
        <v>195</v>
      </c>
      <c r="D19" s="170">
        <f>'[1]7. Administrative '!$H9</f>
        <v>10381499.492369436</v>
      </c>
    </row>
    <row r="20" spans="2:4" x14ac:dyDescent="0.3">
      <c r="B20" s="168">
        <v>2</v>
      </c>
      <c r="C20" s="169" t="s">
        <v>196</v>
      </c>
      <c r="D20" s="170">
        <f>'[1]7. Administrative '!$H10</f>
        <v>0</v>
      </c>
    </row>
    <row r="21" spans="2:4" x14ac:dyDescent="0.3">
      <c r="B21" s="168">
        <v>3</v>
      </c>
      <c r="C21" s="169" t="s">
        <v>197</v>
      </c>
      <c r="D21" s="170">
        <f>'[1]7. Administrative '!$H11</f>
        <v>0</v>
      </c>
    </row>
    <row r="22" spans="2:4" x14ac:dyDescent="0.3">
      <c r="B22" s="168">
        <v>4</v>
      </c>
      <c r="C22" s="169" t="s">
        <v>198</v>
      </c>
      <c r="D22" s="171">
        <f>'[1]7. Administrative '!$H12</f>
        <v>0</v>
      </c>
    </row>
    <row r="23" spans="2:4" x14ac:dyDescent="0.3">
      <c r="B23" s="168">
        <v>5</v>
      </c>
      <c r="C23" s="169" t="s">
        <v>199</v>
      </c>
      <c r="D23" s="170">
        <f>'[1]7. Administrative '!$H13</f>
        <v>0</v>
      </c>
    </row>
    <row r="24" spans="2:4" x14ac:dyDescent="0.3">
      <c r="B24" s="168">
        <v>6</v>
      </c>
      <c r="C24" s="169" t="s">
        <v>200</v>
      </c>
      <c r="D24" s="170">
        <f>'[1]7. Administrative '!$H14</f>
        <v>0</v>
      </c>
    </row>
    <row r="25" spans="2:4" x14ac:dyDescent="0.3">
      <c r="B25" s="168">
        <v>7</v>
      </c>
      <c r="C25" s="169" t="s">
        <v>201</v>
      </c>
      <c r="D25" s="171">
        <f>'[1]7. Administrative '!$H15</f>
        <v>1521540.8536715666</v>
      </c>
    </row>
    <row r="26" spans="2:4" x14ac:dyDescent="0.3">
      <c r="B26" s="168">
        <v>8</v>
      </c>
      <c r="C26" s="169" t="s">
        <v>202</v>
      </c>
      <c r="D26" s="171">
        <f>'[1]7. Administrative '!$H16</f>
        <v>1587884.0299192346</v>
      </c>
    </row>
    <row r="27" spans="2:4" x14ac:dyDescent="0.3">
      <c r="B27" s="168">
        <v>9</v>
      </c>
      <c r="C27" s="169" t="s">
        <v>203</v>
      </c>
      <c r="D27" s="171">
        <f>'[1]7. Administrative '!$H17</f>
        <v>0</v>
      </c>
    </row>
    <row r="28" spans="2:4" x14ac:dyDescent="0.3">
      <c r="B28" s="168">
        <v>10</v>
      </c>
      <c r="C28" s="169" t="s">
        <v>204</v>
      </c>
      <c r="D28" s="171">
        <f>'[1]7. Administrative '!$H18</f>
        <v>5274743.9389671767</v>
      </c>
    </row>
    <row r="29" spans="2:4" x14ac:dyDescent="0.3">
      <c r="B29" s="168">
        <v>11</v>
      </c>
      <c r="C29" s="169" t="s">
        <v>205</v>
      </c>
      <c r="D29" s="171">
        <f>'[1]7. Administrative '!$H19</f>
        <v>10304.083401007723</v>
      </c>
    </row>
    <row r="30" spans="2:4" x14ac:dyDescent="0.3">
      <c r="B30" s="168">
        <v>12</v>
      </c>
      <c r="C30" s="169" t="s">
        <v>206</v>
      </c>
      <c r="D30" s="171">
        <f>'[1]7. Administrative '!$H20</f>
        <v>869718.01344522438</v>
      </c>
    </row>
    <row r="31" spans="2:4" x14ac:dyDescent="0.3">
      <c r="B31" s="168">
        <v>13</v>
      </c>
      <c r="C31" s="169" t="s">
        <v>207</v>
      </c>
      <c r="D31" s="171">
        <f>'[1]7. Administrative '!$H21</f>
        <v>0</v>
      </c>
    </row>
    <row r="32" spans="2:4" x14ac:dyDescent="0.3">
      <c r="B32" s="168">
        <v>14</v>
      </c>
      <c r="C32" s="169" t="s">
        <v>208</v>
      </c>
      <c r="D32" s="171">
        <v>0</v>
      </c>
    </row>
    <row r="33" spans="2:4" x14ac:dyDescent="0.3">
      <c r="B33" s="168">
        <v>15</v>
      </c>
      <c r="C33" s="169" t="s">
        <v>209</v>
      </c>
      <c r="D33" s="171">
        <f>'[1]7. Administrative '!$H22</f>
        <v>0</v>
      </c>
    </row>
    <row r="34" spans="2:4" x14ac:dyDescent="0.3">
      <c r="B34" s="168">
        <v>16</v>
      </c>
      <c r="C34" s="169" t="s">
        <v>210</v>
      </c>
      <c r="D34" s="171">
        <f>'[1]7. Administrative '!$H23</f>
        <v>126153.67103615057</v>
      </c>
    </row>
    <row r="35" spans="2:4" x14ac:dyDescent="0.3">
      <c r="B35" s="168">
        <v>17</v>
      </c>
      <c r="C35" s="169" t="s">
        <v>211</v>
      </c>
      <c r="D35" s="171">
        <f>'[1]7. Administrative '!$H24</f>
        <v>1618193.2438256831</v>
      </c>
    </row>
    <row r="36" spans="2:4" x14ac:dyDescent="0.3">
      <c r="B36" s="168">
        <v>18</v>
      </c>
      <c r="C36" s="169" t="s">
        <v>212</v>
      </c>
      <c r="D36" s="171">
        <f>'[1]7. Administrative '!$H25</f>
        <v>0</v>
      </c>
    </row>
    <row r="37" spans="2:4" x14ac:dyDescent="0.3">
      <c r="B37" s="168">
        <v>19</v>
      </c>
      <c r="C37" s="169" t="s">
        <v>79</v>
      </c>
      <c r="D37" s="171">
        <f>'[1]7. Administrative '!$H26</f>
        <v>0</v>
      </c>
    </row>
    <row r="38" spans="2:4" x14ac:dyDescent="0.3">
      <c r="B38" s="168">
        <v>20</v>
      </c>
      <c r="C38" s="169" t="s">
        <v>213</v>
      </c>
      <c r="D38" s="171">
        <f>'[1]7. Administrative '!$H27</f>
        <v>0</v>
      </c>
    </row>
    <row r="39" spans="2:4" x14ac:dyDescent="0.3">
      <c r="B39" s="168">
        <v>21</v>
      </c>
      <c r="C39" s="169" t="s">
        <v>214</v>
      </c>
      <c r="D39" s="171">
        <f>'[1]7. Administrative '!$H28</f>
        <v>0</v>
      </c>
    </row>
    <row r="40" spans="2:4" x14ac:dyDescent="0.3">
      <c r="B40" s="168">
        <v>22</v>
      </c>
      <c r="C40" s="169" t="s">
        <v>215</v>
      </c>
      <c r="D40" s="171">
        <f>'[1]7. Administrative '!$H29</f>
        <v>0</v>
      </c>
    </row>
    <row r="41" spans="2:4" x14ac:dyDescent="0.3">
      <c r="B41" s="168">
        <v>23</v>
      </c>
      <c r="C41" s="169" t="s">
        <v>216</v>
      </c>
      <c r="D41" s="171">
        <f>'[1]7. Administrative '!$H30</f>
        <v>0</v>
      </c>
    </row>
    <row r="42" spans="2:4" ht="14.4" thickBot="1" x14ac:dyDescent="0.35">
      <c r="B42" s="172">
        <v>24</v>
      </c>
      <c r="C42" s="173" t="s">
        <v>217</v>
      </c>
      <c r="D42" s="174">
        <f>'[1]7. Administrative '!$H31</f>
        <v>0</v>
      </c>
    </row>
    <row r="43" spans="2:4" ht="14.4" thickTop="1" x14ac:dyDescent="0.3">
      <c r="B43" s="175" t="s">
        <v>218</v>
      </c>
      <c r="C43" s="175"/>
      <c r="D43" s="176">
        <f>SUM(D19:D42)</f>
        <v>21390037.32663548</v>
      </c>
    </row>
    <row r="44" spans="2:4" x14ac:dyDescent="0.3">
      <c r="B44" s="101"/>
      <c r="C44" s="101"/>
      <c r="D44" s="177"/>
    </row>
    <row r="45" spans="2:4" x14ac:dyDescent="0.3">
      <c r="B45" s="165" t="s">
        <v>219</v>
      </c>
      <c r="C45" s="165"/>
      <c r="D45" s="178"/>
    </row>
    <row r="46" spans="2:4" x14ac:dyDescent="0.3">
      <c r="B46" s="168">
        <v>24</v>
      </c>
      <c r="C46" s="169" t="s">
        <v>220</v>
      </c>
      <c r="D46" s="171">
        <f>'[1]7. Administrative '!$H36</f>
        <v>0</v>
      </c>
    </row>
    <row r="47" spans="2:4" x14ac:dyDescent="0.3">
      <c r="B47" s="168">
        <v>25</v>
      </c>
      <c r="C47" s="169" t="s">
        <v>221</v>
      </c>
      <c r="D47" s="171">
        <f>'[1]7. Administrative '!$H37</f>
        <v>287045.68</v>
      </c>
    </row>
    <row r="48" spans="2:4" x14ac:dyDescent="0.3">
      <c r="B48" s="168">
        <v>26</v>
      </c>
      <c r="C48" s="169" t="s">
        <v>222</v>
      </c>
      <c r="D48" s="171">
        <f>'[1]7. Administrative '!$H38</f>
        <v>6848.9699999999993</v>
      </c>
    </row>
    <row r="49" spans="2:4" x14ac:dyDescent="0.3">
      <c r="B49" s="168">
        <v>27</v>
      </c>
      <c r="C49" s="169" t="s">
        <v>223</v>
      </c>
      <c r="D49" s="171">
        <f>'[1]7. Administrative '!$H39</f>
        <v>21523.732874041816</v>
      </c>
    </row>
    <row r="50" spans="2:4" x14ac:dyDescent="0.3">
      <c r="B50" s="168">
        <v>28</v>
      </c>
      <c r="C50" s="169" t="s">
        <v>224</v>
      </c>
      <c r="D50" s="171">
        <f>'[1]7. Administrative '!$H40</f>
        <v>207.93679602873638</v>
      </c>
    </row>
    <row r="51" spans="2:4" x14ac:dyDescent="0.3">
      <c r="B51" s="168">
        <v>29</v>
      </c>
      <c r="C51" s="169" t="s">
        <v>225</v>
      </c>
      <c r="D51" s="171">
        <f>'[1]7. Administrative '!$H41</f>
        <v>0</v>
      </c>
    </row>
    <row r="52" spans="2:4" x14ac:dyDescent="0.3">
      <c r="B52" s="168">
        <v>30</v>
      </c>
      <c r="C52" s="179" t="s">
        <v>226</v>
      </c>
      <c r="D52" s="171">
        <f>'[1]7. Administrative '!$H42</f>
        <v>0</v>
      </c>
    </row>
    <row r="53" spans="2:4" ht="14.4" thickBot="1" x14ac:dyDescent="0.35">
      <c r="B53" s="172">
        <v>31</v>
      </c>
      <c r="C53" s="180" t="s">
        <v>226</v>
      </c>
      <c r="D53" s="174">
        <f>'[1]7. Administrative '!$H43</f>
        <v>0</v>
      </c>
    </row>
    <row r="54" spans="2:4" ht="15" thickTop="1" thickBot="1" x14ac:dyDescent="0.35">
      <c r="B54" s="175" t="s">
        <v>227</v>
      </c>
      <c r="C54" s="175"/>
      <c r="D54" s="176">
        <f>SUM(D46:D53)</f>
        <v>315626.31967007054</v>
      </c>
    </row>
    <row r="55" spans="2:4" ht="14.4" thickTop="1" x14ac:dyDescent="0.3">
      <c r="B55" s="175" t="s">
        <v>228</v>
      </c>
      <c r="C55" s="175"/>
      <c r="D55" s="176">
        <f>D43+D54</f>
        <v>21705663.64630555</v>
      </c>
    </row>
    <row r="56" spans="2:4" x14ac:dyDescent="0.3">
      <c r="B56" s="5"/>
    </row>
    <row r="57" spans="2:4" x14ac:dyDescent="0.3">
      <c r="B57" s="165" t="s">
        <v>229</v>
      </c>
      <c r="C57" s="166"/>
      <c r="D57" s="165"/>
    </row>
    <row r="58" spans="2:4" x14ac:dyDescent="0.3">
      <c r="B58" s="215"/>
      <c r="C58" s="216"/>
      <c r="D58" s="217"/>
    </row>
    <row r="59" spans="2:4" x14ac:dyDescent="0.3">
      <c r="B59" s="218"/>
      <c r="C59" s="219"/>
      <c r="D59" s="220"/>
    </row>
    <row r="60" spans="2:4" x14ac:dyDescent="0.3">
      <c r="B60" s="218"/>
      <c r="C60" s="219"/>
      <c r="D60" s="220"/>
    </row>
    <row r="61" spans="2:4" x14ac:dyDescent="0.3">
      <c r="B61" s="218"/>
      <c r="C61" s="219"/>
      <c r="D61" s="220"/>
    </row>
    <row r="62" spans="2:4" x14ac:dyDescent="0.3">
      <c r="B62" s="218"/>
      <c r="C62" s="219"/>
      <c r="D62" s="220"/>
    </row>
    <row r="63" spans="2:4" x14ac:dyDescent="0.3">
      <c r="B63" s="221"/>
      <c r="C63" s="222"/>
      <c r="D63" s="223"/>
    </row>
    <row r="64" spans="2:4" x14ac:dyDescent="0.3">
      <c r="B64" s="5"/>
    </row>
    <row r="65" spans="1:10" x14ac:dyDescent="0.3">
      <c r="B65" s="5"/>
    </row>
    <row r="66" spans="1:10" s="141" customFormat="1" x14ac:dyDescent="0.3">
      <c r="A66" s="5"/>
      <c r="B66" s="5"/>
      <c r="D66" s="5"/>
      <c r="E66" s="5"/>
      <c r="F66" s="5"/>
      <c r="G66" s="5"/>
      <c r="H66" s="5"/>
      <c r="I66" s="5"/>
      <c r="J66" s="5"/>
    </row>
  </sheetData>
  <mergeCells count="1">
    <mergeCell ref="B58:D63"/>
  </mergeCells>
  <pageMargins left="0.5" right="0.5" top="0.5" bottom="0.5" header="0.3" footer="0.3"/>
  <pageSetup orientation="portrait" horizontalDpi="300" verticalDpi="300" r:id="rId1"/>
  <headerFooter>
    <oddHeader>&amp;LCO HCPF - BH&amp;RDraft and Confidential</oddHeader>
    <oddFooter>&amp;L&amp;F | &amp;A&amp;R&amp;G</oddFooter>
  </headerFooter>
  <rowBreaks count="1" manualBreakCount="1">
    <brk id="44" min="1" max="3" man="1"/>
  </rowBreaks>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zoomScaleNormal="100" zoomScaleSheetLayoutView="70" workbookViewId="0">
      <selection activeCell="L23" sqref="L23"/>
    </sheetView>
  </sheetViews>
  <sheetFormatPr defaultColWidth="8.77734375" defaultRowHeight="13.8" x14ac:dyDescent="0.3"/>
  <cols>
    <col min="1" max="1" width="2.21875" style="5" customWidth="1"/>
    <col min="2" max="2" width="11" style="5" bestFit="1" customWidth="1"/>
    <col min="3" max="3" width="23.21875" style="5" bestFit="1" customWidth="1"/>
    <col min="4" max="4" width="10.109375" style="5" bestFit="1" customWidth="1"/>
    <col min="5" max="8" width="11.109375" style="5" bestFit="1" customWidth="1"/>
    <col min="9" max="9" width="2.21875" style="5" customWidth="1"/>
    <col min="10" max="10" width="11" style="5" bestFit="1" customWidth="1"/>
    <col min="11" max="11" width="18.21875" style="5" bestFit="1" customWidth="1"/>
    <col min="12" max="16" width="13" style="5" customWidth="1"/>
    <col min="17" max="17" width="2.21875" style="5" customWidth="1"/>
    <col min="18" max="16384" width="8.77734375" style="5"/>
  </cols>
  <sheetData>
    <row r="2" spans="2:16" x14ac:dyDescent="0.3">
      <c r="B2" s="9" t="s">
        <v>69</v>
      </c>
      <c r="C2" s="10" t="str">
        <f>Overview!$C$11</f>
        <v>Colorado Access</v>
      </c>
    </row>
    <row r="3" spans="2:16" x14ac:dyDescent="0.3">
      <c r="B3" s="9" t="s">
        <v>71</v>
      </c>
      <c r="C3" s="10" t="str">
        <f>Overview!C12</f>
        <v>Region 3</v>
      </c>
    </row>
    <row r="4" spans="2:16" x14ac:dyDescent="0.3">
      <c r="B4" s="9" t="s">
        <v>20</v>
      </c>
      <c r="C4" s="11" t="s">
        <v>97</v>
      </c>
    </row>
    <row r="5" spans="2:16" x14ac:dyDescent="0.3">
      <c r="B5" s="9" t="s">
        <v>21</v>
      </c>
      <c r="C5" s="10" t="str">
        <f>Overview!C13</f>
        <v>July 1, 2022 - June 30, 2023</v>
      </c>
    </row>
    <row r="6" spans="2:16" x14ac:dyDescent="0.3">
      <c r="B6" s="9"/>
      <c r="C6" s="10"/>
    </row>
    <row r="7" spans="2:16" ht="14.4" x14ac:dyDescent="0.3">
      <c r="B7" s="56" t="s">
        <v>98</v>
      </c>
    </row>
    <row r="8" spans="2:16" x14ac:dyDescent="0.3">
      <c r="B8" s="9"/>
    </row>
    <row r="9" spans="2:16" x14ac:dyDescent="0.3">
      <c r="B9" s="9"/>
      <c r="C9" s="44" t="s">
        <v>62</v>
      </c>
    </row>
    <row r="10" spans="2:16" x14ac:dyDescent="0.3">
      <c r="B10" s="9"/>
      <c r="C10" s="39">
        <f>+'[3]J &amp; L'!$G$28</f>
        <v>87582.58</v>
      </c>
    </row>
    <row r="11" spans="2:16" x14ac:dyDescent="0.3">
      <c r="B11" s="9"/>
      <c r="C11" s="10"/>
      <c r="J11" s="9"/>
      <c r="K11" s="10"/>
    </row>
    <row r="12" spans="2:16" x14ac:dyDescent="0.3">
      <c r="C12" s="31"/>
      <c r="D12" s="27" t="s">
        <v>49</v>
      </c>
      <c r="E12" s="27"/>
      <c r="F12" s="27"/>
      <c r="G12" s="27"/>
      <c r="H12" s="27"/>
      <c r="K12" s="31"/>
      <c r="L12" s="27" t="s">
        <v>70</v>
      </c>
      <c r="M12" s="27"/>
      <c r="N12" s="27"/>
      <c r="O12" s="27"/>
      <c r="P12" s="27"/>
    </row>
    <row r="13" spans="2:16" x14ac:dyDescent="0.3">
      <c r="B13" s="27" t="s">
        <v>269</v>
      </c>
      <c r="C13" s="32" t="s">
        <v>42</v>
      </c>
      <c r="D13" s="34" t="s">
        <v>50</v>
      </c>
      <c r="E13" s="34" t="s">
        <v>51</v>
      </c>
      <c r="F13" s="34" t="s">
        <v>52</v>
      </c>
      <c r="G13" s="32" t="s">
        <v>40</v>
      </c>
      <c r="H13" s="32" t="s">
        <v>41</v>
      </c>
      <c r="J13" s="27" t="str">
        <f>B13</f>
        <v>JUL'22</v>
      </c>
      <c r="K13" s="32" t="s">
        <v>42</v>
      </c>
      <c r="L13" s="34" t="s">
        <v>50</v>
      </c>
      <c r="M13" s="34" t="s">
        <v>51</v>
      </c>
      <c r="N13" s="34" t="s">
        <v>52</v>
      </c>
      <c r="O13" s="32" t="s">
        <v>40</v>
      </c>
      <c r="P13" s="32" t="s">
        <v>41</v>
      </c>
    </row>
    <row r="14" spans="2:16" ht="14.4" x14ac:dyDescent="0.3">
      <c r="B14"/>
      <c r="C14" s="6" t="s">
        <v>43</v>
      </c>
      <c r="D14" s="35"/>
      <c r="E14" s="35"/>
      <c r="F14" s="35">
        <v>251</v>
      </c>
      <c r="G14" s="35">
        <v>379</v>
      </c>
      <c r="H14" s="35">
        <v>116</v>
      </c>
      <c r="J14"/>
      <c r="K14" s="6" t="s">
        <v>43</v>
      </c>
      <c r="L14" s="39"/>
      <c r="M14" s="39"/>
      <c r="N14" s="39">
        <v>135037.5</v>
      </c>
      <c r="O14" s="39">
        <v>159635</v>
      </c>
      <c r="P14" s="39">
        <v>91158.62</v>
      </c>
    </row>
    <row r="15" spans="2:16" ht="14.4" x14ac:dyDescent="0.3">
      <c r="B15"/>
      <c r="C15" s="6" t="s">
        <v>44</v>
      </c>
      <c r="D15" s="35">
        <v>270</v>
      </c>
      <c r="E15" s="35">
        <v>436</v>
      </c>
      <c r="F15" s="35">
        <v>1</v>
      </c>
      <c r="G15" s="35"/>
      <c r="H15" s="35"/>
      <c r="J15"/>
      <c r="K15" s="6" t="s">
        <v>44</v>
      </c>
      <c r="L15" s="39">
        <v>55269.43</v>
      </c>
      <c r="M15" s="39">
        <v>104989.5</v>
      </c>
      <c r="N15" s="39">
        <v>487.5</v>
      </c>
      <c r="O15" s="39"/>
      <c r="P15" s="39"/>
    </row>
    <row r="16" spans="2:16" ht="15" thickBot="1" x14ac:dyDescent="0.35">
      <c r="B16"/>
      <c r="C16" s="8" t="s">
        <v>45</v>
      </c>
      <c r="D16" s="37"/>
      <c r="E16" s="37"/>
      <c r="F16" s="37">
        <v>1</v>
      </c>
      <c r="G16" s="37"/>
      <c r="H16" s="37">
        <v>172</v>
      </c>
      <c r="J16"/>
      <c r="K16" s="8" t="s">
        <v>45</v>
      </c>
      <c r="L16" s="40"/>
      <c r="M16" s="40"/>
      <c r="N16" s="40">
        <v>487.5</v>
      </c>
      <c r="O16" s="40"/>
      <c r="P16" s="40">
        <v>152961.92000000001</v>
      </c>
    </row>
    <row r="17" spans="2:16" ht="15" thickTop="1" x14ac:dyDescent="0.3">
      <c r="B17"/>
      <c r="C17" s="36" t="s">
        <v>29</v>
      </c>
      <c r="D17" s="38">
        <f>SUM(D14:D16)</f>
        <v>270</v>
      </c>
      <c r="E17" s="38">
        <f t="shared" ref="E17:H17" si="0">SUM(E14:E16)</f>
        <v>436</v>
      </c>
      <c r="F17" s="38">
        <f t="shared" si="0"/>
        <v>253</v>
      </c>
      <c r="G17" s="38">
        <f t="shared" si="0"/>
        <v>379</v>
      </c>
      <c r="H17" s="38">
        <f t="shared" si="0"/>
        <v>288</v>
      </c>
      <c r="J17"/>
      <c r="K17" s="36" t="s">
        <v>29</v>
      </c>
      <c r="L17" s="41">
        <f>SUM(L14:L16)</f>
        <v>55269.43</v>
      </c>
      <c r="M17" s="41">
        <f t="shared" ref="M17:P17" si="1">SUM(M14:M16)</f>
        <v>104989.5</v>
      </c>
      <c r="N17" s="41">
        <f t="shared" si="1"/>
        <v>136012.5</v>
      </c>
      <c r="O17" s="41">
        <f t="shared" si="1"/>
        <v>159635</v>
      </c>
      <c r="P17" s="41">
        <f t="shared" si="1"/>
        <v>244120.54</v>
      </c>
    </row>
    <row r="18" spans="2:16" ht="14.4" x14ac:dyDescent="0.3">
      <c r="B18"/>
      <c r="C18"/>
      <c r="D18"/>
      <c r="E18"/>
      <c r="F18"/>
      <c r="G18"/>
      <c r="H18"/>
      <c r="J18"/>
      <c r="K18"/>
    </row>
    <row r="19" spans="2:16" x14ac:dyDescent="0.3">
      <c r="C19" s="31"/>
      <c r="D19" s="27" t="s">
        <v>49</v>
      </c>
      <c r="E19" s="27"/>
      <c r="F19" s="27"/>
      <c r="G19" s="27"/>
      <c r="H19" s="27"/>
      <c r="K19" s="31"/>
      <c r="L19" s="27" t="s">
        <v>70</v>
      </c>
      <c r="M19" s="27"/>
      <c r="N19" s="27"/>
      <c r="O19" s="27"/>
      <c r="P19" s="27"/>
    </row>
    <row r="20" spans="2:16" x14ac:dyDescent="0.3">
      <c r="B20" s="27" t="s">
        <v>270</v>
      </c>
      <c r="C20" s="32" t="s">
        <v>42</v>
      </c>
      <c r="D20" s="34" t="s">
        <v>50</v>
      </c>
      <c r="E20" s="34" t="s">
        <v>51</v>
      </c>
      <c r="F20" s="34" t="s">
        <v>52</v>
      </c>
      <c r="G20" s="32" t="s">
        <v>40</v>
      </c>
      <c r="H20" s="32" t="s">
        <v>41</v>
      </c>
      <c r="J20" s="27" t="str">
        <f>B20</f>
        <v>AUG'22</v>
      </c>
      <c r="K20" s="32" t="s">
        <v>42</v>
      </c>
      <c r="L20" s="34" t="s">
        <v>50</v>
      </c>
      <c r="M20" s="34" t="s">
        <v>51</v>
      </c>
      <c r="N20" s="34" t="s">
        <v>52</v>
      </c>
      <c r="O20" s="32" t="s">
        <v>40</v>
      </c>
      <c r="P20" s="32" t="s">
        <v>41</v>
      </c>
    </row>
    <row r="21" spans="2:16" ht="12.75" customHeight="1" x14ac:dyDescent="0.3">
      <c r="B21"/>
      <c r="C21" s="6" t="s">
        <v>43</v>
      </c>
      <c r="D21" s="35"/>
      <c r="E21" s="35"/>
      <c r="F21" s="35">
        <v>385</v>
      </c>
      <c r="G21" s="35">
        <v>338</v>
      </c>
      <c r="H21" s="35">
        <v>109</v>
      </c>
      <c r="J21"/>
      <c r="K21" s="6" t="s">
        <v>43</v>
      </c>
      <c r="L21" s="39"/>
      <c r="M21" s="39"/>
      <c r="N21" s="39">
        <v>216362.5</v>
      </c>
      <c r="O21" s="39">
        <v>139953.75</v>
      </c>
      <c r="P21" s="39">
        <v>88981.67</v>
      </c>
    </row>
    <row r="22" spans="2:16" ht="14.4" x14ac:dyDescent="0.3">
      <c r="B22"/>
      <c r="C22" s="6" t="s">
        <v>44</v>
      </c>
      <c r="D22" s="35">
        <v>274</v>
      </c>
      <c r="E22" s="35">
        <v>466</v>
      </c>
      <c r="F22" s="35"/>
      <c r="G22" s="35"/>
      <c r="H22" s="35"/>
      <c r="J22"/>
      <c r="K22" s="6" t="s">
        <v>44</v>
      </c>
      <c r="L22" s="39">
        <v>56222.76</v>
      </c>
      <c r="M22" s="39">
        <v>114106.56</v>
      </c>
      <c r="N22" s="39"/>
      <c r="O22" s="39"/>
      <c r="P22" s="39"/>
    </row>
    <row r="23" spans="2:16" ht="15" thickBot="1" x14ac:dyDescent="0.35">
      <c r="B23"/>
      <c r="C23" s="8" t="s">
        <v>45</v>
      </c>
      <c r="D23" s="37"/>
      <c r="E23" s="37"/>
      <c r="F23" s="37"/>
      <c r="G23" s="37"/>
      <c r="H23" s="37">
        <v>181</v>
      </c>
      <c r="J23"/>
      <c r="K23" s="8" t="s">
        <v>45</v>
      </c>
      <c r="L23" s="40"/>
      <c r="M23" s="40"/>
      <c r="N23" s="40"/>
      <c r="O23" s="40"/>
      <c r="P23" s="40">
        <v>152907.44</v>
      </c>
    </row>
    <row r="24" spans="2:16" ht="15" thickTop="1" x14ac:dyDescent="0.3">
      <c r="B24"/>
      <c r="C24" s="36" t="s">
        <v>29</v>
      </c>
      <c r="D24" s="38">
        <f>SUM(D21:D23)</f>
        <v>274</v>
      </c>
      <c r="E24" s="38">
        <f t="shared" ref="E24:H24" si="2">SUM(E21:E23)</f>
        <v>466</v>
      </c>
      <c r="F24" s="38">
        <f t="shared" si="2"/>
        <v>385</v>
      </c>
      <c r="G24" s="38">
        <f t="shared" si="2"/>
        <v>338</v>
      </c>
      <c r="H24" s="38">
        <f t="shared" si="2"/>
        <v>290</v>
      </c>
      <c r="J24"/>
      <c r="K24" s="36" t="s">
        <v>29</v>
      </c>
      <c r="L24" s="41">
        <f>SUM(L21:L23)</f>
        <v>56222.76</v>
      </c>
      <c r="M24" s="41">
        <f t="shared" ref="M24:P24" si="3">SUM(M21:M23)</f>
        <v>114106.56</v>
      </c>
      <c r="N24" s="41">
        <f t="shared" si="3"/>
        <v>216362.5</v>
      </c>
      <c r="O24" s="41">
        <f t="shared" si="3"/>
        <v>139953.75</v>
      </c>
      <c r="P24" s="41">
        <f t="shared" si="3"/>
        <v>241889.11</v>
      </c>
    </row>
    <row r="25" spans="2:16" ht="14.4" x14ac:dyDescent="0.3">
      <c r="B25"/>
      <c r="C25"/>
      <c r="D25"/>
      <c r="E25"/>
      <c r="F25"/>
      <c r="G25"/>
      <c r="H25"/>
      <c r="J25"/>
      <c r="K25"/>
      <c r="L25"/>
      <c r="M25"/>
    </row>
    <row r="26" spans="2:16" x14ac:dyDescent="0.3">
      <c r="C26" s="31"/>
      <c r="D26" s="27" t="s">
        <v>49</v>
      </c>
      <c r="E26" s="27"/>
      <c r="F26" s="27"/>
      <c r="G26" s="27"/>
      <c r="H26" s="27"/>
      <c r="K26" s="31"/>
      <c r="L26" s="27" t="s">
        <v>70</v>
      </c>
      <c r="M26" s="27"/>
      <c r="N26" s="27"/>
      <c r="O26" s="27"/>
      <c r="P26" s="27"/>
    </row>
    <row r="27" spans="2:16" x14ac:dyDescent="0.3">
      <c r="B27" s="27" t="s">
        <v>271</v>
      </c>
      <c r="C27" s="32" t="s">
        <v>42</v>
      </c>
      <c r="D27" s="34" t="s">
        <v>50</v>
      </c>
      <c r="E27" s="34" t="s">
        <v>51</v>
      </c>
      <c r="F27" s="34" t="s">
        <v>52</v>
      </c>
      <c r="G27" s="32" t="s">
        <v>40</v>
      </c>
      <c r="H27" s="32" t="s">
        <v>41</v>
      </c>
      <c r="J27" s="27" t="str">
        <f>B27</f>
        <v>SEP'22</v>
      </c>
      <c r="K27" s="32" t="s">
        <v>42</v>
      </c>
      <c r="L27" s="34" t="s">
        <v>50</v>
      </c>
      <c r="M27" s="34" t="s">
        <v>51</v>
      </c>
      <c r="N27" s="34" t="s">
        <v>52</v>
      </c>
      <c r="O27" s="32" t="s">
        <v>40</v>
      </c>
      <c r="P27" s="32" t="s">
        <v>41</v>
      </c>
    </row>
    <row r="28" spans="2:16" ht="14.4" x14ac:dyDescent="0.3">
      <c r="B28"/>
      <c r="C28" s="6" t="s">
        <v>43</v>
      </c>
      <c r="D28" s="35"/>
      <c r="E28" s="35"/>
      <c r="F28" s="35">
        <v>176</v>
      </c>
      <c r="G28" s="35">
        <v>450</v>
      </c>
      <c r="H28" s="35">
        <v>127</v>
      </c>
      <c r="J28"/>
      <c r="K28" s="6" t="s">
        <v>43</v>
      </c>
      <c r="L28" s="39"/>
      <c r="M28" s="39"/>
      <c r="N28" s="39">
        <v>95062.5</v>
      </c>
      <c r="O28" s="39">
        <v>188581.25</v>
      </c>
      <c r="P28" s="39">
        <v>104405.24</v>
      </c>
    </row>
    <row r="29" spans="2:16" ht="14.4" x14ac:dyDescent="0.3">
      <c r="B29"/>
      <c r="C29" s="6" t="s">
        <v>44</v>
      </c>
      <c r="D29" s="35">
        <v>292</v>
      </c>
      <c r="E29" s="35">
        <v>496</v>
      </c>
      <c r="F29" s="35"/>
      <c r="G29" s="35"/>
      <c r="H29" s="35"/>
      <c r="J29"/>
      <c r="K29" s="6" t="s">
        <v>44</v>
      </c>
      <c r="L29" s="39">
        <v>58777.3999999999</v>
      </c>
      <c r="M29" s="39">
        <v>127339.08</v>
      </c>
      <c r="N29" s="39"/>
      <c r="O29" s="39"/>
      <c r="P29" s="39"/>
    </row>
    <row r="30" spans="2:16" ht="15" thickBot="1" x14ac:dyDescent="0.35">
      <c r="B30"/>
      <c r="C30" s="8" t="s">
        <v>45</v>
      </c>
      <c r="D30" s="37"/>
      <c r="E30" s="37"/>
      <c r="F30" s="37">
        <v>3</v>
      </c>
      <c r="G30" s="37"/>
      <c r="H30" s="37">
        <v>155</v>
      </c>
      <c r="J30"/>
      <c r="K30" s="8" t="s">
        <v>45</v>
      </c>
      <c r="L30" s="40"/>
      <c r="M30" s="40"/>
      <c r="N30" s="40">
        <v>2818.86</v>
      </c>
      <c r="O30" s="40"/>
      <c r="P30" s="40">
        <v>135305.28</v>
      </c>
    </row>
    <row r="31" spans="2:16" ht="15" thickTop="1" x14ac:dyDescent="0.3">
      <c r="B31"/>
      <c r="C31" s="36" t="s">
        <v>29</v>
      </c>
      <c r="D31" s="38">
        <f>SUM(D28:D30)</f>
        <v>292</v>
      </c>
      <c r="E31" s="38">
        <f t="shared" ref="E31:H31" si="4">SUM(E28:E30)</f>
        <v>496</v>
      </c>
      <c r="F31" s="38">
        <f t="shared" si="4"/>
        <v>179</v>
      </c>
      <c r="G31" s="38">
        <f t="shared" si="4"/>
        <v>450</v>
      </c>
      <c r="H31" s="38">
        <f t="shared" si="4"/>
        <v>282</v>
      </c>
      <c r="J31"/>
      <c r="K31" s="36" t="s">
        <v>29</v>
      </c>
      <c r="L31" s="41">
        <f>SUM(L28:L30)</f>
        <v>58777.3999999999</v>
      </c>
      <c r="M31" s="41">
        <f t="shared" ref="M31:P31" si="5">SUM(M28:M30)</f>
        <v>127339.08</v>
      </c>
      <c r="N31" s="41">
        <f t="shared" si="5"/>
        <v>97881.36</v>
      </c>
      <c r="O31" s="41">
        <f t="shared" si="5"/>
        <v>188581.25</v>
      </c>
      <c r="P31" s="41">
        <f t="shared" si="5"/>
        <v>239710.52000000002</v>
      </c>
    </row>
    <row r="32" spans="2:16" ht="14.4" x14ac:dyDescent="0.3">
      <c r="B32"/>
      <c r="C32"/>
      <c r="D32"/>
      <c r="E32"/>
      <c r="F32"/>
      <c r="G32"/>
      <c r="H32"/>
      <c r="J32"/>
      <c r="K32"/>
      <c r="L32"/>
      <c r="M32"/>
    </row>
    <row r="33" spans="2:16" x14ac:dyDescent="0.3">
      <c r="C33" s="31"/>
      <c r="D33" s="27" t="s">
        <v>49</v>
      </c>
      <c r="E33" s="27"/>
      <c r="F33" s="27"/>
      <c r="G33" s="27"/>
      <c r="H33" s="27"/>
      <c r="K33" s="31"/>
      <c r="L33" s="27" t="s">
        <v>70</v>
      </c>
      <c r="M33" s="27"/>
      <c r="N33" s="27"/>
      <c r="O33" s="27"/>
      <c r="P33" s="27"/>
    </row>
    <row r="34" spans="2:16" x14ac:dyDescent="0.3">
      <c r="B34" s="27" t="s">
        <v>272</v>
      </c>
      <c r="C34" s="32" t="s">
        <v>42</v>
      </c>
      <c r="D34" s="34" t="s">
        <v>50</v>
      </c>
      <c r="E34" s="34" t="s">
        <v>51</v>
      </c>
      <c r="F34" s="34" t="s">
        <v>52</v>
      </c>
      <c r="G34" s="32" t="s">
        <v>40</v>
      </c>
      <c r="H34" s="32" t="s">
        <v>41</v>
      </c>
      <c r="J34" s="27" t="str">
        <f>B34</f>
        <v>OCT'22</v>
      </c>
      <c r="K34" s="32" t="s">
        <v>42</v>
      </c>
      <c r="L34" s="34" t="s">
        <v>50</v>
      </c>
      <c r="M34" s="34" t="s">
        <v>51</v>
      </c>
      <c r="N34" s="34" t="s">
        <v>52</v>
      </c>
      <c r="O34" s="32" t="s">
        <v>40</v>
      </c>
      <c r="P34" s="32" t="s">
        <v>41</v>
      </c>
    </row>
    <row r="35" spans="2:16" ht="14.4" x14ac:dyDescent="0.3">
      <c r="B35"/>
      <c r="C35" s="6" t="s">
        <v>43</v>
      </c>
      <c r="D35" s="35"/>
      <c r="E35" s="35"/>
      <c r="F35" s="35">
        <v>230</v>
      </c>
      <c r="G35" s="35">
        <v>451</v>
      </c>
      <c r="H35" s="35">
        <v>117</v>
      </c>
      <c r="J35"/>
      <c r="K35" s="6" t="s">
        <v>43</v>
      </c>
      <c r="L35" s="39"/>
      <c r="M35" s="39"/>
      <c r="N35" s="39">
        <v>124575</v>
      </c>
      <c r="O35" s="39">
        <v>189867.5</v>
      </c>
      <c r="P35" s="39">
        <v>93946.06</v>
      </c>
    </row>
    <row r="36" spans="2:16" ht="14.4" x14ac:dyDescent="0.3">
      <c r="B36"/>
      <c r="C36" s="6" t="s">
        <v>44</v>
      </c>
      <c r="D36" s="35">
        <v>317</v>
      </c>
      <c r="E36" s="35">
        <v>491</v>
      </c>
      <c r="F36" s="35"/>
      <c r="G36" s="35"/>
      <c r="H36" s="35"/>
      <c r="J36"/>
      <c r="K36" s="6" t="s">
        <v>44</v>
      </c>
      <c r="L36" s="39">
        <v>64718.84</v>
      </c>
      <c r="M36" s="39">
        <v>134757.56</v>
      </c>
      <c r="N36" s="39"/>
      <c r="O36" s="39"/>
      <c r="P36" s="39"/>
    </row>
    <row r="37" spans="2:16" ht="15" thickBot="1" x14ac:dyDescent="0.35">
      <c r="B37"/>
      <c r="C37" s="8" t="s">
        <v>45</v>
      </c>
      <c r="D37" s="37"/>
      <c r="E37" s="37"/>
      <c r="F37" s="37"/>
      <c r="G37" s="37"/>
      <c r="H37" s="37">
        <v>157</v>
      </c>
      <c r="J37"/>
      <c r="K37" s="8" t="s">
        <v>45</v>
      </c>
      <c r="L37" s="40"/>
      <c r="M37" s="40"/>
      <c r="N37" s="40"/>
      <c r="O37" s="40"/>
      <c r="P37" s="40">
        <v>134120.35999999999</v>
      </c>
    </row>
    <row r="38" spans="2:16" ht="15" thickTop="1" x14ac:dyDescent="0.3">
      <c r="B38"/>
      <c r="C38" s="36" t="s">
        <v>29</v>
      </c>
      <c r="D38" s="38">
        <f>SUM(D35:D37)</f>
        <v>317</v>
      </c>
      <c r="E38" s="38">
        <f t="shared" ref="E38:H38" si="6">SUM(E35:E37)</f>
        <v>491</v>
      </c>
      <c r="F38" s="38">
        <f t="shared" si="6"/>
        <v>230</v>
      </c>
      <c r="G38" s="38">
        <f t="shared" si="6"/>
        <v>451</v>
      </c>
      <c r="H38" s="38">
        <f t="shared" si="6"/>
        <v>274</v>
      </c>
      <c r="J38"/>
      <c r="K38" s="36" t="s">
        <v>29</v>
      </c>
      <c r="L38" s="41">
        <f>SUM(L35:L37)</f>
        <v>64718.84</v>
      </c>
      <c r="M38" s="41">
        <f t="shared" ref="M38:P38" si="7">SUM(M35:M37)</f>
        <v>134757.56</v>
      </c>
      <c r="N38" s="41">
        <f t="shared" si="7"/>
        <v>124575</v>
      </c>
      <c r="O38" s="41">
        <f t="shared" si="7"/>
        <v>189867.5</v>
      </c>
      <c r="P38" s="41">
        <f t="shared" si="7"/>
        <v>228066.41999999998</v>
      </c>
    </row>
    <row r="39" spans="2:16" ht="14.4" x14ac:dyDescent="0.3">
      <c r="B39"/>
      <c r="C39"/>
      <c r="D39"/>
      <c r="E39"/>
      <c r="F39"/>
      <c r="G39"/>
      <c r="H39"/>
      <c r="J39"/>
      <c r="K39"/>
      <c r="L39"/>
      <c r="M39"/>
    </row>
    <row r="40" spans="2:16" x14ac:dyDescent="0.3">
      <c r="C40" s="31"/>
      <c r="D40" s="27" t="s">
        <v>49</v>
      </c>
      <c r="E40" s="27"/>
      <c r="F40" s="27"/>
      <c r="G40" s="27"/>
      <c r="H40" s="27"/>
      <c r="K40" s="31"/>
      <c r="L40" s="27" t="s">
        <v>70</v>
      </c>
      <c r="M40" s="27"/>
      <c r="N40" s="27"/>
      <c r="O40" s="27"/>
      <c r="P40" s="27"/>
    </row>
    <row r="41" spans="2:16" x14ac:dyDescent="0.3">
      <c r="B41" s="27" t="s">
        <v>273</v>
      </c>
      <c r="C41" s="32" t="s">
        <v>42</v>
      </c>
      <c r="D41" s="34" t="s">
        <v>50</v>
      </c>
      <c r="E41" s="34" t="s">
        <v>51</v>
      </c>
      <c r="F41" s="34" t="s">
        <v>52</v>
      </c>
      <c r="G41" s="32" t="s">
        <v>40</v>
      </c>
      <c r="H41" s="32" t="s">
        <v>41</v>
      </c>
      <c r="J41" s="27" t="str">
        <f>B41</f>
        <v>NOV'22</v>
      </c>
      <c r="K41" s="32" t="s">
        <v>42</v>
      </c>
      <c r="L41" s="34" t="s">
        <v>50</v>
      </c>
      <c r="M41" s="34" t="s">
        <v>51</v>
      </c>
      <c r="N41" s="34" t="s">
        <v>52</v>
      </c>
      <c r="O41" s="32" t="s">
        <v>40</v>
      </c>
      <c r="P41" s="32" t="s">
        <v>41</v>
      </c>
    </row>
    <row r="42" spans="2:16" ht="14.4" x14ac:dyDescent="0.3">
      <c r="B42"/>
      <c r="C42" s="6" t="s">
        <v>43</v>
      </c>
      <c r="D42" s="35"/>
      <c r="E42" s="35"/>
      <c r="F42" s="35">
        <v>270</v>
      </c>
      <c r="G42" s="35">
        <v>459</v>
      </c>
      <c r="H42" s="35">
        <v>114</v>
      </c>
      <c r="J42"/>
      <c r="K42" s="6" t="s">
        <v>43</v>
      </c>
      <c r="L42" s="39"/>
      <c r="M42" s="39"/>
      <c r="N42" s="39">
        <v>153437.5</v>
      </c>
      <c r="O42" s="39">
        <v>194796.25</v>
      </c>
      <c r="P42" s="39">
        <v>97485.37</v>
      </c>
    </row>
    <row r="43" spans="2:16" ht="14.4" x14ac:dyDescent="0.3">
      <c r="B43"/>
      <c r="C43" s="6" t="s">
        <v>44</v>
      </c>
      <c r="D43" s="35">
        <v>246</v>
      </c>
      <c r="E43" s="35">
        <v>446</v>
      </c>
      <c r="F43" s="35"/>
      <c r="G43" s="35"/>
      <c r="H43" s="35"/>
      <c r="J43"/>
      <c r="K43" s="6" t="s">
        <v>44</v>
      </c>
      <c r="L43" s="39">
        <v>49118.02</v>
      </c>
      <c r="M43" s="39">
        <v>108137.06</v>
      </c>
      <c r="N43" s="39"/>
      <c r="O43" s="39"/>
      <c r="P43" s="39"/>
    </row>
    <row r="44" spans="2:16" ht="15" thickBot="1" x14ac:dyDescent="0.35">
      <c r="B44"/>
      <c r="C44" s="8" t="s">
        <v>45</v>
      </c>
      <c r="D44" s="37"/>
      <c r="E44" s="37"/>
      <c r="F44" s="37">
        <v>23</v>
      </c>
      <c r="G44" s="37"/>
      <c r="H44" s="37">
        <v>127</v>
      </c>
      <c r="J44"/>
      <c r="K44" s="8" t="s">
        <v>45</v>
      </c>
      <c r="L44" s="40"/>
      <c r="M44" s="40"/>
      <c r="N44" s="40">
        <v>4550</v>
      </c>
      <c r="O44" s="40"/>
      <c r="P44" s="40">
        <v>119331.74</v>
      </c>
    </row>
    <row r="45" spans="2:16" ht="15" thickTop="1" x14ac:dyDescent="0.3">
      <c r="B45"/>
      <c r="C45" s="36" t="s">
        <v>29</v>
      </c>
      <c r="D45" s="38">
        <f>SUM(D42:D44)</f>
        <v>246</v>
      </c>
      <c r="E45" s="38">
        <f t="shared" ref="E45:H45" si="8">SUM(E42:E44)</f>
        <v>446</v>
      </c>
      <c r="F45" s="38">
        <f t="shared" si="8"/>
        <v>293</v>
      </c>
      <c r="G45" s="38">
        <f t="shared" si="8"/>
        <v>459</v>
      </c>
      <c r="H45" s="38">
        <f t="shared" si="8"/>
        <v>241</v>
      </c>
      <c r="J45"/>
      <c r="K45" s="36" t="s">
        <v>29</v>
      </c>
      <c r="L45" s="41">
        <f>SUM(L42:L44)</f>
        <v>49118.02</v>
      </c>
      <c r="M45" s="41">
        <f t="shared" ref="M45:P45" si="9">SUM(M42:M44)</f>
        <v>108137.06</v>
      </c>
      <c r="N45" s="41">
        <f t="shared" si="9"/>
        <v>157987.5</v>
      </c>
      <c r="O45" s="41">
        <f t="shared" si="9"/>
        <v>194796.25</v>
      </c>
      <c r="P45" s="41">
        <f t="shared" si="9"/>
        <v>216817.11</v>
      </c>
    </row>
    <row r="46" spans="2:16" ht="14.4" x14ac:dyDescent="0.3">
      <c r="B46"/>
      <c r="C46"/>
      <c r="D46"/>
      <c r="E46"/>
      <c r="F46"/>
      <c r="G46"/>
      <c r="H46"/>
      <c r="J46"/>
      <c r="K46"/>
      <c r="L46"/>
      <c r="M46"/>
    </row>
    <row r="47" spans="2:16" x14ac:dyDescent="0.3">
      <c r="C47" s="31"/>
      <c r="D47" s="27" t="s">
        <v>49</v>
      </c>
      <c r="E47" s="27"/>
      <c r="F47" s="27"/>
      <c r="G47" s="27"/>
      <c r="H47" s="27"/>
      <c r="K47" s="31"/>
      <c r="L47" s="27" t="s">
        <v>70</v>
      </c>
      <c r="M47" s="27"/>
      <c r="N47" s="27"/>
      <c r="O47" s="27"/>
      <c r="P47" s="27"/>
    </row>
    <row r="48" spans="2:16" x14ac:dyDescent="0.3">
      <c r="B48" s="27" t="s">
        <v>274</v>
      </c>
      <c r="C48" s="32" t="s">
        <v>42</v>
      </c>
      <c r="D48" s="34" t="s">
        <v>50</v>
      </c>
      <c r="E48" s="34" t="s">
        <v>51</v>
      </c>
      <c r="F48" s="34" t="s">
        <v>52</v>
      </c>
      <c r="G48" s="32" t="s">
        <v>40</v>
      </c>
      <c r="H48" s="32" t="s">
        <v>41</v>
      </c>
      <c r="J48" s="27" t="str">
        <f>B48</f>
        <v>DEC'22</v>
      </c>
      <c r="K48" s="32" t="s">
        <v>42</v>
      </c>
      <c r="L48" s="34" t="s">
        <v>50</v>
      </c>
      <c r="M48" s="34" t="s">
        <v>51</v>
      </c>
      <c r="N48" s="34" t="s">
        <v>52</v>
      </c>
      <c r="O48" s="32" t="s">
        <v>40</v>
      </c>
      <c r="P48" s="32" t="s">
        <v>41</v>
      </c>
    </row>
    <row r="49" spans="2:16" ht="14.4" x14ac:dyDescent="0.3">
      <c r="B49"/>
      <c r="C49" s="6" t="s">
        <v>43</v>
      </c>
      <c r="D49" s="35"/>
      <c r="E49" s="35"/>
      <c r="F49" s="35">
        <v>329</v>
      </c>
      <c r="G49" s="35">
        <v>401</v>
      </c>
      <c r="H49" s="35">
        <v>134</v>
      </c>
      <c r="J49"/>
      <c r="K49" s="6" t="s">
        <v>43</v>
      </c>
      <c r="L49" s="39"/>
      <c r="M49" s="39"/>
      <c r="N49" s="39">
        <v>169325</v>
      </c>
      <c r="O49" s="39">
        <v>167340</v>
      </c>
      <c r="P49" s="39">
        <v>109684.25</v>
      </c>
    </row>
    <row r="50" spans="2:16" ht="14.4" x14ac:dyDescent="0.3">
      <c r="B50"/>
      <c r="C50" s="6" t="s">
        <v>44</v>
      </c>
      <c r="D50" s="35">
        <v>324</v>
      </c>
      <c r="E50" s="35">
        <v>572</v>
      </c>
      <c r="F50" s="35"/>
      <c r="G50" s="35"/>
      <c r="H50" s="35"/>
      <c r="J50"/>
      <c r="K50" s="6" t="s">
        <v>44</v>
      </c>
      <c r="L50" s="39">
        <v>63384.6</v>
      </c>
      <c r="M50" s="39">
        <v>133924.68</v>
      </c>
      <c r="N50" s="39"/>
      <c r="O50" s="39"/>
      <c r="P50" s="39"/>
    </row>
    <row r="51" spans="2:16" ht="15" thickBot="1" x14ac:dyDescent="0.35">
      <c r="B51"/>
      <c r="C51" s="8" t="s">
        <v>45</v>
      </c>
      <c r="D51" s="37"/>
      <c r="E51" s="37"/>
      <c r="F51" s="37"/>
      <c r="G51" s="37"/>
      <c r="H51" s="37">
        <v>215</v>
      </c>
      <c r="J51"/>
      <c r="K51" s="8" t="s">
        <v>45</v>
      </c>
      <c r="L51" s="40"/>
      <c r="M51" s="40"/>
      <c r="N51" s="40"/>
      <c r="O51" s="40"/>
      <c r="P51" s="40">
        <v>187365.07</v>
      </c>
    </row>
    <row r="52" spans="2:16" ht="15" thickTop="1" x14ac:dyDescent="0.3">
      <c r="B52"/>
      <c r="C52" s="36" t="s">
        <v>29</v>
      </c>
      <c r="D52" s="38">
        <f>SUM(D49:D51)</f>
        <v>324</v>
      </c>
      <c r="E52" s="38">
        <f t="shared" ref="E52:H52" si="10">SUM(E49:E51)</f>
        <v>572</v>
      </c>
      <c r="F52" s="38">
        <f t="shared" si="10"/>
        <v>329</v>
      </c>
      <c r="G52" s="38">
        <f t="shared" si="10"/>
        <v>401</v>
      </c>
      <c r="H52" s="38">
        <f t="shared" si="10"/>
        <v>349</v>
      </c>
      <c r="J52"/>
      <c r="K52" s="36" t="s">
        <v>29</v>
      </c>
      <c r="L52" s="41">
        <f>SUM(L49:L51)</f>
        <v>63384.6</v>
      </c>
      <c r="M52" s="41">
        <f t="shared" ref="M52:P52" si="11">SUM(M49:M51)</f>
        <v>133924.68</v>
      </c>
      <c r="N52" s="41">
        <f t="shared" si="11"/>
        <v>169325</v>
      </c>
      <c r="O52" s="41">
        <f t="shared" si="11"/>
        <v>167340</v>
      </c>
      <c r="P52" s="41">
        <f t="shared" si="11"/>
        <v>297049.32</v>
      </c>
    </row>
    <row r="53" spans="2:16" ht="14.4" x14ac:dyDescent="0.3">
      <c r="B53"/>
      <c r="C53" s="88"/>
      <c r="D53" s="89"/>
      <c r="E53" s="89"/>
      <c r="F53" s="89"/>
      <c r="G53" s="89"/>
      <c r="H53" s="89"/>
      <c r="J53"/>
      <c r="K53" s="88"/>
      <c r="L53" s="90"/>
      <c r="M53" s="90"/>
      <c r="N53" s="90"/>
      <c r="O53" s="90"/>
      <c r="P53" s="90"/>
    </row>
    <row r="54" spans="2:16" x14ac:dyDescent="0.3">
      <c r="C54" s="31"/>
      <c r="D54" s="27" t="s">
        <v>49</v>
      </c>
      <c r="E54" s="27"/>
      <c r="F54" s="27"/>
      <c r="G54" s="27"/>
      <c r="H54" s="27"/>
      <c r="K54" s="31"/>
      <c r="L54" s="27" t="s">
        <v>70</v>
      </c>
      <c r="M54" s="27"/>
      <c r="N54" s="27"/>
      <c r="O54" s="27"/>
      <c r="P54" s="27"/>
    </row>
    <row r="55" spans="2:16" x14ac:dyDescent="0.3">
      <c r="B55" s="27" t="s">
        <v>263</v>
      </c>
      <c r="C55" s="32" t="s">
        <v>42</v>
      </c>
      <c r="D55" s="34" t="s">
        <v>50</v>
      </c>
      <c r="E55" s="34" t="s">
        <v>51</v>
      </c>
      <c r="F55" s="34" t="s">
        <v>52</v>
      </c>
      <c r="G55" s="32" t="s">
        <v>40</v>
      </c>
      <c r="H55" s="32" t="s">
        <v>41</v>
      </c>
      <c r="J55" s="27" t="str">
        <f>B55</f>
        <v>JAN'23</v>
      </c>
      <c r="K55" s="32" t="s">
        <v>42</v>
      </c>
      <c r="L55" s="34" t="s">
        <v>50</v>
      </c>
      <c r="M55" s="34" t="s">
        <v>51</v>
      </c>
      <c r="N55" s="34" t="s">
        <v>52</v>
      </c>
      <c r="O55" s="32" t="s">
        <v>40</v>
      </c>
      <c r="P55" s="32" t="s">
        <v>41</v>
      </c>
    </row>
    <row r="56" spans="2:16" ht="14.4" x14ac:dyDescent="0.3">
      <c r="B56"/>
      <c r="C56" s="6" t="s">
        <v>43</v>
      </c>
      <c r="D56" s="35"/>
      <c r="E56" s="35"/>
      <c r="F56" s="35">
        <v>334</v>
      </c>
      <c r="G56" s="35">
        <v>430</v>
      </c>
      <c r="H56" s="35">
        <v>167</v>
      </c>
      <c r="J56"/>
      <c r="K56" s="6" t="s">
        <v>43</v>
      </c>
      <c r="L56" s="39"/>
      <c r="M56" s="39"/>
      <c r="N56" s="39">
        <v>185737.5</v>
      </c>
      <c r="O56" s="39">
        <v>183197.5</v>
      </c>
      <c r="P56" s="39">
        <v>142881.49</v>
      </c>
    </row>
    <row r="57" spans="2:16" ht="14.4" x14ac:dyDescent="0.3">
      <c r="B57"/>
      <c r="C57" s="6" t="s">
        <v>44</v>
      </c>
      <c r="D57" s="35">
        <v>257</v>
      </c>
      <c r="E57" s="35">
        <v>466</v>
      </c>
      <c r="F57" s="35"/>
      <c r="G57" s="35"/>
      <c r="H57" s="35"/>
      <c r="J57"/>
      <c r="K57" s="6" t="s">
        <v>44</v>
      </c>
      <c r="L57" s="39">
        <v>51848.33</v>
      </c>
      <c r="M57" s="39">
        <v>112610.92</v>
      </c>
      <c r="N57" s="39"/>
      <c r="O57" s="39"/>
      <c r="P57" s="39"/>
    </row>
    <row r="58" spans="2:16" ht="15" thickBot="1" x14ac:dyDescent="0.35">
      <c r="B58"/>
      <c r="C58" s="8" t="s">
        <v>45</v>
      </c>
      <c r="D58" s="37"/>
      <c r="E58" s="37"/>
      <c r="F58" s="37"/>
      <c r="G58" s="37"/>
      <c r="H58" s="37">
        <v>151</v>
      </c>
      <c r="J58"/>
      <c r="K58" s="8" t="s">
        <v>45</v>
      </c>
      <c r="L58" s="40"/>
      <c r="M58" s="40"/>
      <c r="N58" s="40"/>
      <c r="O58" s="40"/>
      <c r="P58" s="40">
        <v>134611.42000000001</v>
      </c>
    </row>
    <row r="59" spans="2:16" ht="15" thickTop="1" x14ac:dyDescent="0.3">
      <c r="B59"/>
      <c r="C59" s="36" t="s">
        <v>29</v>
      </c>
      <c r="D59" s="38">
        <f>SUM(D56:D58)</f>
        <v>257</v>
      </c>
      <c r="E59" s="38">
        <f t="shared" ref="E59:H59" si="12">SUM(E56:E58)</f>
        <v>466</v>
      </c>
      <c r="F59" s="38">
        <f t="shared" si="12"/>
        <v>334</v>
      </c>
      <c r="G59" s="38">
        <f t="shared" si="12"/>
        <v>430</v>
      </c>
      <c r="H59" s="38">
        <f t="shared" si="12"/>
        <v>318</v>
      </c>
      <c r="J59"/>
      <c r="K59" s="36" t="s">
        <v>29</v>
      </c>
      <c r="L59" s="41">
        <f>SUM(L56:L58)</f>
        <v>51848.33</v>
      </c>
      <c r="M59" s="41">
        <f t="shared" ref="M59:P59" si="13">SUM(M56:M58)</f>
        <v>112610.92</v>
      </c>
      <c r="N59" s="41">
        <f t="shared" si="13"/>
        <v>185737.5</v>
      </c>
      <c r="O59" s="41">
        <f t="shared" si="13"/>
        <v>183197.5</v>
      </c>
      <c r="P59" s="41">
        <f t="shared" si="13"/>
        <v>277492.91000000003</v>
      </c>
    </row>
    <row r="60" spans="2:16" ht="14.4" x14ac:dyDescent="0.3">
      <c r="B60"/>
      <c r="C60"/>
      <c r="D60"/>
      <c r="E60"/>
      <c r="F60"/>
      <c r="G60"/>
      <c r="H60"/>
      <c r="J60"/>
      <c r="K60"/>
    </row>
    <row r="61" spans="2:16" x14ac:dyDescent="0.3">
      <c r="C61" s="31"/>
      <c r="D61" s="27" t="s">
        <v>49</v>
      </c>
      <c r="E61" s="27"/>
      <c r="F61" s="27"/>
      <c r="G61" s="27"/>
      <c r="H61" s="27"/>
      <c r="K61" s="31"/>
      <c r="L61" s="27" t="s">
        <v>70</v>
      </c>
      <c r="M61" s="27"/>
      <c r="N61" s="27"/>
      <c r="O61" s="27"/>
      <c r="P61" s="27"/>
    </row>
    <row r="62" spans="2:16" x14ac:dyDescent="0.3">
      <c r="B62" s="27" t="s">
        <v>264</v>
      </c>
      <c r="C62" s="32" t="s">
        <v>42</v>
      </c>
      <c r="D62" s="34" t="s">
        <v>50</v>
      </c>
      <c r="E62" s="34" t="s">
        <v>51</v>
      </c>
      <c r="F62" s="34" t="s">
        <v>52</v>
      </c>
      <c r="G62" s="32" t="s">
        <v>40</v>
      </c>
      <c r="H62" s="32" t="s">
        <v>41</v>
      </c>
      <c r="J62" s="27" t="str">
        <f>B62</f>
        <v>FEB'23</v>
      </c>
      <c r="K62" s="32" t="s">
        <v>42</v>
      </c>
      <c r="L62" s="34" t="s">
        <v>50</v>
      </c>
      <c r="M62" s="34" t="s">
        <v>51</v>
      </c>
      <c r="N62" s="34" t="s">
        <v>52</v>
      </c>
      <c r="O62" s="32" t="s">
        <v>40</v>
      </c>
      <c r="P62" s="32" t="s">
        <v>41</v>
      </c>
    </row>
    <row r="63" spans="2:16" ht="14.4" x14ac:dyDescent="0.3">
      <c r="B63"/>
      <c r="C63" s="6" t="s">
        <v>43</v>
      </c>
      <c r="D63" s="35"/>
      <c r="E63" s="35"/>
      <c r="F63" s="35">
        <v>330</v>
      </c>
      <c r="G63" s="35">
        <v>375</v>
      </c>
      <c r="H63" s="35">
        <v>130</v>
      </c>
      <c r="J63"/>
      <c r="K63" s="6" t="s">
        <v>43</v>
      </c>
      <c r="L63" s="39"/>
      <c r="M63" s="39"/>
      <c r="N63" s="39">
        <v>176150</v>
      </c>
      <c r="O63" s="39">
        <v>161232.5</v>
      </c>
      <c r="P63" s="39">
        <v>115808.03</v>
      </c>
    </row>
    <row r="64" spans="2:16" ht="14.4" x14ac:dyDescent="0.3">
      <c r="B64"/>
      <c r="C64" s="6" t="s">
        <v>44</v>
      </c>
      <c r="D64" s="35">
        <v>311</v>
      </c>
      <c r="E64" s="35">
        <v>537</v>
      </c>
      <c r="F64" s="35"/>
      <c r="G64" s="35"/>
      <c r="H64" s="35"/>
      <c r="J64"/>
      <c r="K64" s="6" t="s">
        <v>44</v>
      </c>
      <c r="L64" s="39">
        <v>61194.63</v>
      </c>
      <c r="M64" s="39">
        <v>133706.51999999999</v>
      </c>
      <c r="N64" s="39"/>
      <c r="O64" s="39"/>
      <c r="P64" s="39"/>
    </row>
    <row r="65" spans="2:16" ht="15" thickBot="1" x14ac:dyDescent="0.35">
      <c r="B65"/>
      <c r="C65" s="8" t="s">
        <v>45</v>
      </c>
      <c r="D65" s="37"/>
      <c r="E65" s="37"/>
      <c r="F65" s="37"/>
      <c r="G65" s="37"/>
      <c r="H65" s="37">
        <v>202</v>
      </c>
      <c r="J65"/>
      <c r="K65" s="8" t="s">
        <v>45</v>
      </c>
      <c r="L65" s="40"/>
      <c r="M65" s="40"/>
      <c r="N65" s="40"/>
      <c r="O65" s="40"/>
      <c r="P65" s="40">
        <v>178355.87</v>
      </c>
    </row>
    <row r="66" spans="2:16" ht="15" thickTop="1" x14ac:dyDescent="0.3">
      <c r="B66"/>
      <c r="C66" s="36" t="s">
        <v>29</v>
      </c>
      <c r="D66" s="38">
        <f>SUM(D63:D65)</f>
        <v>311</v>
      </c>
      <c r="E66" s="38">
        <f t="shared" ref="E66:H66" si="14">SUM(E63:E65)</f>
        <v>537</v>
      </c>
      <c r="F66" s="38">
        <f t="shared" si="14"/>
        <v>330</v>
      </c>
      <c r="G66" s="38">
        <f t="shared" si="14"/>
        <v>375</v>
      </c>
      <c r="H66" s="38">
        <f t="shared" si="14"/>
        <v>332</v>
      </c>
      <c r="J66"/>
      <c r="K66" s="36" t="s">
        <v>29</v>
      </c>
      <c r="L66" s="41">
        <f>SUM(L63:L65)</f>
        <v>61194.63</v>
      </c>
      <c r="M66" s="41">
        <f t="shared" ref="M66" si="15">SUM(M63:M65)</f>
        <v>133706.51999999999</v>
      </c>
      <c r="N66" s="41">
        <f t="shared" ref="N66" si="16">SUM(N63:N65)</f>
        <v>176150</v>
      </c>
      <c r="O66" s="41">
        <f t="shared" ref="O66" si="17">SUM(O63:O65)</f>
        <v>161232.5</v>
      </c>
      <c r="P66" s="41">
        <f t="shared" ref="P66" si="18">SUM(P63:P65)</f>
        <v>294163.90000000002</v>
      </c>
    </row>
    <row r="67" spans="2:16" ht="14.4" x14ac:dyDescent="0.3">
      <c r="B67"/>
      <c r="C67"/>
      <c r="D67"/>
      <c r="E67"/>
      <c r="F67"/>
      <c r="G67"/>
      <c r="H67"/>
      <c r="J67"/>
      <c r="K67"/>
    </row>
    <row r="68" spans="2:16" x14ac:dyDescent="0.3">
      <c r="C68" s="31"/>
      <c r="D68" s="27" t="s">
        <v>49</v>
      </c>
      <c r="E68" s="27"/>
      <c r="F68" s="27"/>
      <c r="G68" s="27"/>
      <c r="H68" s="27"/>
      <c r="K68" s="31"/>
      <c r="L68" s="27" t="s">
        <v>70</v>
      </c>
      <c r="M68" s="27"/>
      <c r="N68" s="27"/>
      <c r="O68" s="27"/>
      <c r="P68" s="27"/>
    </row>
    <row r="69" spans="2:16" x14ac:dyDescent="0.3">
      <c r="B69" s="27" t="s">
        <v>265</v>
      </c>
      <c r="C69" s="32" t="s">
        <v>42</v>
      </c>
      <c r="D69" s="34" t="s">
        <v>50</v>
      </c>
      <c r="E69" s="34" t="s">
        <v>51</v>
      </c>
      <c r="F69" s="34" t="s">
        <v>52</v>
      </c>
      <c r="G69" s="32" t="s">
        <v>40</v>
      </c>
      <c r="H69" s="32" t="s">
        <v>41</v>
      </c>
      <c r="J69" s="27" t="str">
        <f>B69</f>
        <v>MAR'23</v>
      </c>
      <c r="K69" s="32" t="s">
        <v>42</v>
      </c>
      <c r="L69" s="34" t="s">
        <v>50</v>
      </c>
      <c r="M69" s="34" t="s">
        <v>51</v>
      </c>
      <c r="N69" s="34" t="s">
        <v>52</v>
      </c>
      <c r="O69" s="32" t="s">
        <v>40</v>
      </c>
      <c r="P69" s="32" t="s">
        <v>41</v>
      </c>
    </row>
    <row r="70" spans="2:16" ht="12.75" customHeight="1" x14ac:dyDescent="0.3">
      <c r="B70"/>
      <c r="C70" s="6" t="s">
        <v>43</v>
      </c>
      <c r="D70" s="35"/>
      <c r="E70" s="35"/>
      <c r="F70" s="35">
        <v>248</v>
      </c>
      <c r="G70" s="35">
        <v>477</v>
      </c>
      <c r="H70" s="35">
        <v>174</v>
      </c>
      <c r="J70"/>
      <c r="K70" s="6" t="s">
        <v>43</v>
      </c>
      <c r="L70" s="39"/>
      <c r="M70" s="39"/>
      <c r="N70" s="39">
        <v>140237.5</v>
      </c>
      <c r="O70" s="39">
        <v>201360</v>
      </c>
      <c r="P70" s="39">
        <v>155976.79999999999</v>
      </c>
    </row>
    <row r="71" spans="2:16" ht="14.4" x14ac:dyDescent="0.3">
      <c r="B71"/>
      <c r="C71" s="6" t="s">
        <v>44</v>
      </c>
      <c r="D71" s="35">
        <v>254</v>
      </c>
      <c r="E71" s="35">
        <v>576</v>
      </c>
      <c r="F71" s="35"/>
      <c r="G71" s="35"/>
      <c r="H71" s="35"/>
      <c r="J71"/>
      <c r="K71" s="6" t="s">
        <v>44</v>
      </c>
      <c r="L71" s="39">
        <v>53897.89</v>
      </c>
      <c r="M71" s="39">
        <v>133780.13</v>
      </c>
      <c r="N71" s="39"/>
      <c r="O71" s="39"/>
      <c r="P71" s="39"/>
    </row>
    <row r="72" spans="2:16" ht="15" thickBot="1" x14ac:dyDescent="0.35">
      <c r="B72"/>
      <c r="C72" s="8" t="s">
        <v>45</v>
      </c>
      <c r="D72" s="37"/>
      <c r="E72" s="37"/>
      <c r="F72" s="37"/>
      <c r="G72" s="37"/>
      <c r="H72" s="37">
        <v>183</v>
      </c>
      <c r="J72"/>
      <c r="K72" s="8" t="s">
        <v>45</v>
      </c>
      <c r="L72" s="40"/>
      <c r="M72" s="40"/>
      <c r="N72" s="40"/>
      <c r="O72" s="40"/>
      <c r="P72" s="40">
        <v>149468.39000000001</v>
      </c>
    </row>
    <row r="73" spans="2:16" ht="15" thickTop="1" x14ac:dyDescent="0.3">
      <c r="B73"/>
      <c r="C73" s="36" t="s">
        <v>29</v>
      </c>
      <c r="D73" s="38">
        <f>SUM(D70:D72)</f>
        <v>254</v>
      </c>
      <c r="E73" s="38">
        <f t="shared" ref="E73" si="19">SUM(E70:E72)</f>
        <v>576</v>
      </c>
      <c r="F73" s="38">
        <f t="shared" ref="F73" si="20">SUM(F70:F72)</f>
        <v>248</v>
      </c>
      <c r="G73" s="38">
        <f t="shared" ref="G73" si="21">SUM(G70:G72)</f>
        <v>477</v>
      </c>
      <c r="H73" s="38">
        <f t="shared" ref="H73" si="22">SUM(H70:H72)</f>
        <v>357</v>
      </c>
      <c r="J73"/>
      <c r="K73" s="36" t="s">
        <v>29</v>
      </c>
      <c r="L73" s="41">
        <f>SUM(L70:L72)</f>
        <v>53897.89</v>
      </c>
      <c r="M73" s="41">
        <f t="shared" ref="M73" si="23">SUM(M70:M72)</f>
        <v>133780.13</v>
      </c>
      <c r="N73" s="41">
        <f t="shared" ref="N73" si="24">SUM(N70:N72)</f>
        <v>140237.5</v>
      </c>
      <c r="O73" s="41">
        <f t="shared" ref="O73" si="25">SUM(O70:O72)</f>
        <v>201360</v>
      </c>
      <c r="P73" s="41">
        <f t="shared" ref="P73" si="26">SUM(P70:P72)</f>
        <v>305445.19</v>
      </c>
    </row>
    <row r="74" spans="2:16" ht="14.4" x14ac:dyDescent="0.3">
      <c r="B74"/>
      <c r="C74"/>
      <c r="D74"/>
      <c r="E74"/>
      <c r="F74"/>
      <c r="G74"/>
      <c r="H74"/>
      <c r="J74"/>
      <c r="K74"/>
      <c r="L74"/>
      <c r="M74"/>
    </row>
    <row r="75" spans="2:16" x14ac:dyDescent="0.3">
      <c r="C75" s="31"/>
      <c r="D75" s="27" t="s">
        <v>49</v>
      </c>
      <c r="E75" s="27"/>
      <c r="F75" s="27"/>
      <c r="G75" s="27"/>
      <c r="H75" s="27"/>
      <c r="K75" s="31"/>
      <c r="L75" s="27" t="s">
        <v>70</v>
      </c>
      <c r="M75" s="27"/>
      <c r="N75" s="27"/>
      <c r="O75" s="27"/>
      <c r="P75" s="27"/>
    </row>
    <row r="76" spans="2:16" x14ac:dyDescent="0.3">
      <c r="B76" s="27" t="s">
        <v>266</v>
      </c>
      <c r="C76" s="32" t="s">
        <v>42</v>
      </c>
      <c r="D76" s="34" t="s">
        <v>50</v>
      </c>
      <c r="E76" s="34" t="s">
        <v>51</v>
      </c>
      <c r="F76" s="34" t="s">
        <v>52</v>
      </c>
      <c r="G76" s="32" t="s">
        <v>40</v>
      </c>
      <c r="H76" s="32" t="s">
        <v>41</v>
      </c>
      <c r="J76" s="27" t="str">
        <f>B76</f>
        <v>APR'23</v>
      </c>
      <c r="K76" s="32" t="s">
        <v>42</v>
      </c>
      <c r="L76" s="34" t="s">
        <v>50</v>
      </c>
      <c r="M76" s="34" t="s">
        <v>51</v>
      </c>
      <c r="N76" s="34" t="s">
        <v>52</v>
      </c>
      <c r="O76" s="32" t="s">
        <v>40</v>
      </c>
      <c r="P76" s="32" t="s">
        <v>41</v>
      </c>
    </row>
    <row r="77" spans="2:16" ht="14.4" x14ac:dyDescent="0.3">
      <c r="B77"/>
      <c r="C77" s="6" t="s">
        <v>43</v>
      </c>
      <c r="D77" s="35"/>
      <c r="E77" s="35"/>
      <c r="F77" s="35">
        <v>226</v>
      </c>
      <c r="G77" s="35">
        <v>552</v>
      </c>
      <c r="H77" s="35">
        <v>242</v>
      </c>
      <c r="J77"/>
      <c r="K77" s="6" t="s">
        <v>43</v>
      </c>
      <c r="L77" s="39"/>
      <c r="M77" s="39"/>
      <c r="N77" s="39">
        <v>143812.5</v>
      </c>
      <c r="O77" s="39">
        <v>234270</v>
      </c>
      <c r="P77" s="39">
        <v>216798.22</v>
      </c>
    </row>
    <row r="78" spans="2:16" ht="14.4" x14ac:dyDescent="0.3">
      <c r="B78"/>
      <c r="C78" s="6" t="s">
        <v>44</v>
      </c>
      <c r="D78" s="35">
        <v>310</v>
      </c>
      <c r="E78" s="35">
        <v>660</v>
      </c>
      <c r="F78" s="35"/>
      <c r="G78" s="35"/>
      <c r="H78" s="35"/>
      <c r="J78"/>
      <c r="K78" s="6" t="s">
        <v>44</v>
      </c>
      <c r="L78" s="39">
        <v>64331.88</v>
      </c>
      <c r="M78" s="39">
        <v>150005.38</v>
      </c>
      <c r="N78" s="39"/>
      <c r="O78" s="39"/>
      <c r="P78" s="39"/>
    </row>
    <row r="79" spans="2:16" ht="15" thickBot="1" x14ac:dyDescent="0.35">
      <c r="B79"/>
      <c r="C79" s="8" t="s">
        <v>45</v>
      </c>
      <c r="D79" s="37"/>
      <c r="E79" s="37"/>
      <c r="F79" s="37"/>
      <c r="G79" s="37"/>
      <c r="H79" s="37">
        <v>162</v>
      </c>
      <c r="J79"/>
      <c r="K79" s="8" t="s">
        <v>45</v>
      </c>
      <c r="L79" s="40"/>
      <c r="M79" s="40"/>
      <c r="N79" s="40"/>
      <c r="O79" s="40"/>
      <c r="P79" s="40">
        <v>143150.5</v>
      </c>
    </row>
    <row r="80" spans="2:16" ht="15" thickTop="1" x14ac:dyDescent="0.3">
      <c r="B80"/>
      <c r="C80" s="36" t="s">
        <v>29</v>
      </c>
      <c r="D80" s="38">
        <f>SUM(D77:D79)</f>
        <v>310</v>
      </c>
      <c r="E80" s="38">
        <f t="shared" ref="E80" si="27">SUM(E77:E79)</f>
        <v>660</v>
      </c>
      <c r="F80" s="38">
        <f t="shared" ref="F80" si="28">SUM(F77:F79)</f>
        <v>226</v>
      </c>
      <c r="G80" s="38">
        <f t="shared" ref="G80" si="29">SUM(G77:G79)</f>
        <v>552</v>
      </c>
      <c r="H80" s="38">
        <f t="shared" ref="H80" si="30">SUM(H77:H79)</f>
        <v>404</v>
      </c>
      <c r="J80"/>
      <c r="K80" s="36" t="s">
        <v>29</v>
      </c>
      <c r="L80" s="41">
        <f>SUM(L77:L79)</f>
        <v>64331.88</v>
      </c>
      <c r="M80" s="41">
        <f t="shared" ref="M80" si="31">SUM(M77:M79)</f>
        <v>150005.38</v>
      </c>
      <c r="N80" s="41">
        <f t="shared" ref="N80" si="32">SUM(N77:N79)</f>
        <v>143812.5</v>
      </c>
      <c r="O80" s="41">
        <f t="shared" ref="O80" si="33">SUM(O77:O79)</f>
        <v>234270</v>
      </c>
      <c r="P80" s="41">
        <f t="shared" ref="P80" si="34">SUM(P77:P79)</f>
        <v>359948.72</v>
      </c>
    </row>
    <row r="81" spans="2:16" ht="14.4" x14ac:dyDescent="0.3">
      <c r="B81"/>
      <c r="C81"/>
      <c r="D81"/>
      <c r="E81"/>
      <c r="F81"/>
      <c r="G81"/>
      <c r="H81"/>
      <c r="J81"/>
      <c r="K81"/>
      <c r="L81"/>
      <c r="M81"/>
    </row>
    <row r="82" spans="2:16" x14ac:dyDescent="0.3">
      <c r="C82" s="31"/>
      <c r="D82" s="27" t="s">
        <v>49</v>
      </c>
      <c r="E82" s="27"/>
      <c r="F82" s="27"/>
      <c r="G82" s="27"/>
      <c r="H82" s="27"/>
      <c r="K82" s="31"/>
      <c r="L82" s="27" t="s">
        <v>70</v>
      </c>
      <c r="M82" s="27"/>
      <c r="N82" s="27"/>
      <c r="O82" s="27"/>
      <c r="P82" s="27"/>
    </row>
    <row r="83" spans="2:16" x14ac:dyDescent="0.3">
      <c r="B83" s="27" t="s">
        <v>267</v>
      </c>
      <c r="C83" s="32" t="s">
        <v>42</v>
      </c>
      <c r="D83" s="34" t="s">
        <v>50</v>
      </c>
      <c r="E83" s="34" t="s">
        <v>51</v>
      </c>
      <c r="F83" s="34" t="s">
        <v>52</v>
      </c>
      <c r="G83" s="32" t="s">
        <v>40</v>
      </c>
      <c r="H83" s="32" t="s">
        <v>41</v>
      </c>
      <c r="J83" s="27" t="str">
        <f>B83</f>
        <v>MAY'23</v>
      </c>
      <c r="K83" s="32" t="s">
        <v>42</v>
      </c>
      <c r="L83" s="34" t="s">
        <v>50</v>
      </c>
      <c r="M83" s="34" t="s">
        <v>51</v>
      </c>
      <c r="N83" s="34" t="s">
        <v>52</v>
      </c>
      <c r="O83" s="32" t="s">
        <v>40</v>
      </c>
      <c r="P83" s="32" t="s">
        <v>41</v>
      </c>
    </row>
    <row r="84" spans="2:16" ht="14.4" x14ac:dyDescent="0.3">
      <c r="B84"/>
      <c r="C84" s="6" t="s">
        <v>43</v>
      </c>
      <c r="D84" s="35"/>
      <c r="E84" s="35"/>
      <c r="F84" s="35">
        <v>286</v>
      </c>
      <c r="G84" s="35">
        <v>607</v>
      </c>
      <c r="H84" s="35">
        <v>226</v>
      </c>
      <c r="J84"/>
      <c r="K84" s="6" t="s">
        <v>43</v>
      </c>
      <c r="L84" s="39"/>
      <c r="M84" s="39"/>
      <c r="N84" s="39">
        <v>185900</v>
      </c>
      <c r="O84" s="39">
        <v>260670</v>
      </c>
      <c r="P84" s="39">
        <v>212354.12</v>
      </c>
    </row>
    <row r="85" spans="2:16" ht="14.4" x14ac:dyDescent="0.3">
      <c r="B85"/>
      <c r="C85" s="6" t="s">
        <v>44</v>
      </c>
      <c r="D85" s="35">
        <v>492</v>
      </c>
      <c r="E85" s="35">
        <v>690</v>
      </c>
      <c r="F85" s="35"/>
      <c r="G85" s="35"/>
      <c r="H85" s="35"/>
      <c r="J85"/>
      <c r="K85" s="6" t="s">
        <v>44</v>
      </c>
      <c r="L85" s="39">
        <v>95786.32</v>
      </c>
      <c r="M85" s="39">
        <v>160202.71</v>
      </c>
      <c r="N85" s="39"/>
      <c r="O85" s="39"/>
      <c r="P85" s="39"/>
    </row>
    <row r="86" spans="2:16" ht="15" thickBot="1" x14ac:dyDescent="0.35">
      <c r="B86"/>
      <c r="C86" s="8" t="s">
        <v>45</v>
      </c>
      <c r="D86" s="37"/>
      <c r="E86" s="37"/>
      <c r="F86" s="37"/>
      <c r="G86" s="37"/>
      <c r="H86" s="37">
        <v>113</v>
      </c>
      <c r="J86"/>
      <c r="K86" s="8" t="s">
        <v>45</v>
      </c>
      <c r="L86" s="40"/>
      <c r="M86" s="40"/>
      <c r="N86" s="40"/>
      <c r="O86" s="40"/>
      <c r="P86" s="40">
        <v>106058.58</v>
      </c>
    </row>
    <row r="87" spans="2:16" ht="15" thickTop="1" x14ac:dyDescent="0.3">
      <c r="B87"/>
      <c r="C87" s="36" t="s">
        <v>29</v>
      </c>
      <c r="D87" s="38">
        <f>SUM(D84:D86)</f>
        <v>492</v>
      </c>
      <c r="E87" s="38">
        <f t="shared" ref="E87" si="35">SUM(E84:E86)</f>
        <v>690</v>
      </c>
      <c r="F87" s="38">
        <f t="shared" ref="F87" si="36">SUM(F84:F86)</f>
        <v>286</v>
      </c>
      <c r="G87" s="38">
        <f t="shared" ref="G87" si="37">SUM(G84:G86)</f>
        <v>607</v>
      </c>
      <c r="H87" s="38">
        <f t="shared" ref="H87" si="38">SUM(H84:H86)</f>
        <v>339</v>
      </c>
      <c r="J87"/>
      <c r="K87" s="36" t="s">
        <v>29</v>
      </c>
      <c r="L87" s="41">
        <f>SUM(L84:L86)</f>
        <v>95786.32</v>
      </c>
      <c r="M87" s="41">
        <f t="shared" ref="M87" si="39">SUM(M84:M86)</f>
        <v>160202.71</v>
      </c>
      <c r="N87" s="41">
        <f t="shared" ref="N87" si="40">SUM(N84:N86)</f>
        <v>185900</v>
      </c>
      <c r="O87" s="41">
        <f t="shared" ref="O87" si="41">SUM(O84:O86)</f>
        <v>260670</v>
      </c>
      <c r="P87" s="41">
        <f t="shared" ref="P87" si="42">SUM(P84:P86)</f>
        <v>318412.7</v>
      </c>
    </row>
    <row r="88" spans="2:16" ht="14.4" x14ac:dyDescent="0.3">
      <c r="B88"/>
      <c r="C88"/>
      <c r="D88"/>
      <c r="E88"/>
      <c r="F88"/>
      <c r="G88"/>
      <c r="H88"/>
      <c r="J88"/>
      <c r="K88"/>
      <c r="L88"/>
      <c r="M88"/>
    </row>
    <row r="89" spans="2:16" x14ac:dyDescent="0.3">
      <c r="C89" s="31"/>
      <c r="D89" s="27" t="s">
        <v>49</v>
      </c>
      <c r="E89" s="27"/>
      <c r="F89" s="27"/>
      <c r="G89" s="27"/>
      <c r="H89" s="27"/>
      <c r="K89" s="31"/>
      <c r="L89" s="27" t="s">
        <v>70</v>
      </c>
      <c r="M89" s="27"/>
      <c r="N89" s="27"/>
      <c r="O89" s="27"/>
      <c r="P89" s="27"/>
    </row>
    <row r="90" spans="2:16" x14ac:dyDescent="0.3">
      <c r="B90" s="27" t="s">
        <v>268</v>
      </c>
      <c r="C90" s="32" t="s">
        <v>42</v>
      </c>
      <c r="D90" s="34" t="s">
        <v>50</v>
      </c>
      <c r="E90" s="34" t="s">
        <v>51</v>
      </c>
      <c r="F90" s="34" t="s">
        <v>52</v>
      </c>
      <c r="G90" s="32" t="s">
        <v>40</v>
      </c>
      <c r="H90" s="32" t="s">
        <v>41</v>
      </c>
      <c r="J90" s="27" t="str">
        <f>B90</f>
        <v>JUN'23</v>
      </c>
      <c r="K90" s="32" t="s">
        <v>42</v>
      </c>
      <c r="L90" s="34" t="s">
        <v>50</v>
      </c>
      <c r="M90" s="34" t="s">
        <v>51</v>
      </c>
      <c r="N90" s="34" t="s">
        <v>52</v>
      </c>
      <c r="O90" s="32" t="s">
        <v>40</v>
      </c>
      <c r="P90" s="32" t="s">
        <v>41</v>
      </c>
    </row>
    <row r="91" spans="2:16" ht="14.4" x14ac:dyDescent="0.3">
      <c r="B91"/>
      <c r="C91" s="6" t="s">
        <v>43</v>
      </c>
      <c r="D91" s="35"/>
      <c r="E91" s="35"/>
      <c r="F91" s="35">
        <v>410</v>
      </c>
      <c r="G91" s="35">
        <v>473</v>
      </c>
      <c r="H91" s="35">
        <v>252</v>
      </c>
      <c r="J91"/>
      <c r="K91" s="6" t="s">
        <v>43</v>
      </c>
      <c r="L91" s="39"/>
      <c r="M91" s="39"/>
      <c r="N91" s="39">
        <v>266012.5</v>
      </c>
      <c r="O91" s="39">
        <v>203516.25</v>
      </c>
      <c r="P91" s="39">
        <v>234700.62</v>
      </c>
    </row>
    <row r="92" spans="2:16" ht="14.4" x14ac:dyDescent="0.3">
      <c r="B92"/>
      <c r="C92" s="6" t="s">
        <v>44</v>
      </c>
      <c r="D92" s="35">
        <v>443</v>
      </c>
      <c r="E92" s="35">
        <v>910</v>
      </c>
      <c r="F92" s="35"/>
      <c r="G92" s="35"/>
      <c r="H92" s="35"/>
      <c r="J92"/>
      <c r="K92" s="6" t="s">
        <v>44</v>
      </c>
      <c r="L92" s="39">
        <v>87812.919999999896</v>
      </c>
      <c r="M92" s="39">
        <v>204500.48000000001</v>
      </c>
      <c r="N92" s="39"/>
      <c r="O92" s="39"/>
      <c r="P92" s="39"/>
    </row>
    <row r="93" spans="2:16" ht="15" thickBot="1" x14ac:dyDescent="0.35">
      <c r="B93"/>
      <c r="C93" s="8" t="s">
        <v>45</v>
      </c>
      <c r="D93" s="37"/>
      <c r="E93" s="37"/>
      <c r="F93" s="37"/>
      <c r="G93" s="37"/>
      <c r="H93" s="37">
        <v>162</v>
      </c>
      <c r="J93"/>
      <c r="K93" s="8" t="s">
        <v>45</v>
      </c>
      <c r="L93" s="40"/>
      <c r="M93" s="40"/>
      <c r="N93" s="40"/>
      <c r="O93" s="40"/>
      <c r="P93" s="40">
        <v>146457.18</v>
      </c>
    </row>
    <row r="94" spans="2:16" ht="15" thickTop="1" x14ac:dyDescent="0.3">
      <c r="B94"/>
      <c r="C94" s="36" t="s">
        <v>29</v>
      </c>
      <c r="D94" s="38">
        <f>SUM(D91:D93)</f>
        <v>443</v>
      </c>
      <c r="E94" s="38">
        <f t="shared" ref="E94" si="43">SUM(E91:E93)</f>
        <v>910</v>
      </c>
      <c r="F94" s="38">
        <f t="shared" ref="F94" si="44">SUM(F91:F93)</f>
        <v>410</v>
      </c>
      <c r="G94" s="38">
        <f t="shared" ref="G94" si="45">SUM(G91:G93)</f>
        <v>473</v>
      </c>
      <c r="H94" s="38">
        <f t="shared" ref="H94" si="46">SUM(H91:H93)</f>
        <v>414</v>
      </c>
      <c r="J94"/>
      <c r="K94" s="36" t="s">
        <v>29</v>
      </c>
      <c r="L94" s="41">
        <f>SUM(L91:L93)</f>
        <v>87812.919999999896</v>
      </c>
      <c r="M94" s="41">
        <f t="shared" ref="M94" si="47">SUM(M91:M93)</f>
        <v>204500.48000000001</v>
      </c>
      <c r="N94" s="41">
        <f t="shared" ref="N94" si="48">SUM(N91:N93)</f>
        <v>266012.5</v>
      </c>
      <c r="O94" s="41">
        <f t="shared" ref="O94" si="49">SUM(O91:O93)</f>
        <v>203516.25</v>
      </c>
      <c r="P94" s="41">
        <f t="shared" ref="P94" si="50">SUM(P91:P93)</f>
        <v>381157.8</v>
      </c>
    </row>
    <row r="95" spans="2:16" ht="14.4" x14ac:dyDescent="0.3">
      <c r="B95"/>
      <c r="C95"/>
      <c r="D95"/>
      <c r="E95"/>
      <c r="F95"/>
      <c r="G95"/>
      <c r="H95"/>
      <c r="J95"/>
      <c r="K95"/>
      <c r="L95"/>
      <c r="M95"/>
    </row>
  </sheetData>
  <protectedRanges>
    <protectedRange sqref="B39:G39 C46:G46 B67 B74:G74 B81:G81 B88:G88 B18 B25:G25 B32:G32" name="Range1"/>
  </protectedRanges>
  <printOptions horizontalCentered="1"/>
  <pageMargins left="0.5" right="0.5" top="0.5" bottom="0.5" header="0.3" footer="0.3"/>
  <pageSetup scale="67" fitToWidth="3" orientation="landscape" r:id="rId1"/>
  <headerFooter>
    <oddHeader>&amp;LCO HCPF - BH&amp;RDraft and Confidential</oddHeader>
    <oddFooter>&amp;L&amp;F | &amp;A&amp;R&amp;G</oddFooter>
  </headerFooter>
  <rowBreaks count="1" manualBreakCount="1">
    <brk id="53" min="1" max="15" man="1"/>
  </rowBreaks>
  <ignoredErrors>
    <ignoredError sqref="D62:F62 L62:N62 D69:F69 L69:N69 L76:N76 D76:F76 D83:F83 L83:N83 L90:N90 D90:F90"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4"/>
  <sheetViews>
    <sheetView showGridLines="0" zoomScaleNormal="100" zoomScaleSheetLayoutView="70" workbookViewId="0">
      <selection activeCell="L28" sqref="L28"/>
    </sheetView>
  </sheetViews>
  <sheetFormatPr defaultColWidth="8.77734375" defaultRowHeight="13.8" x14ac:dyDescent="0.3"/>
  <cols>
    <col min="1" max="1" width="2.21875" style="5" customWidth="1"/>
    <col min="2" max="2" width="12.5546875" style="5" customWidth="1"/>
    <col min="3" max="3" width="21.21875" style="5" customWidth="1"/>
    <col min="4" max="4" width="15.21875" style="5" bestFit="1" customWidth="1"/>
    <col min="5" max="5" width="12.21875" style="5" customWidth="1"/>
    <col min="6" max="6" width="11" style="5" bestFit="1" customWidth="1"/>
    <col min="7" max="7" width="13.21875" style="5" customWidth="1"/>
    <col min="8" max="8" width="11.21875" style="5" customWidth="1"/>
    <col min="9" max="9" width="12.77734375" style="5" customWidth="1"/>
    <col min="10" max="10" width="13.21875" style="5" customWidth="1"/>
    <col min="11" max="11" width="2.21875" style="5" customWidth="1"/>
    <col min="12" max="12" width="18.21875" style="5" bestFit="1" customWidth="1"/>
    <col min="13" max="18" width="14.77734375" style="5" customWidth="1"/>
    <col min="19" max="19" width="2.21875" style="5" customWidth="1"/>
    <col min="20" max="20" width="11" style="5" bestFit="1" customWidth="1"/>
    <col min="21" max="21" width="18.21875" style="5" bestFit="1" customWidth="1"/>
    <col min="22" max="27" width="13" style="5" customWidth="1"/>
    <col min="28" max="28" width="27.5546875" style="5" bestFit="1" customWidth="1"/>
    <col min="29" max="16384" width="8.77734375" style="5"/>
  </cols>
  <sheetData>
    <row r="2" spans="2:12" x14ac:dyDescent="0.3">
      <c r="B2" s="9" t="s">
        <v>69</v>
      </c>
      <c r="C2" s="10" t="str">
        <f>Overview!$C$11</f>
        <v>Colorado Access</v>
      </c>
    </row>
    <row r="3" spans="2:12" x14ac:dyDescent="0.3">
      <c r="B3" s="9" t="s">
        <v>71</v>
      </c>
      <c r="C3" s="10" t="str">
        <f>Overview!C12</f>
        <v>Region 3</v>
      </c>
    </row>
    <row r="4" spans="2:12" x14ac:dyDescent="0.3">
      <c r="B4" s="9" t="s">
        <v>20</v>
      </c>
      <c r="C4" s="11" t="s">
        <v>125</v>
      </c>
    </row>
    <row r="5" spans="2:12" x14ac:dyDescent="0.3">
      <c r="B5" s="9" t="s">
        <v>21</v>
      </c>
      <c r="C5" s="10" t="str">
        <f>Overview!C13</f>
        <v>July 1, 2022 - June 30, 2023</v>
      </c>
    </row>
    <row r="6" spans="2:12" x14ac:dyDescent="0.3">
      <c r="B6" s="9"/>
      <c r="C6" s="10"/>
      <c r="L6" s="10"/>
    </row>
    <row r="7" spans="2:12" x14ac:dyDescent="0.3">
      <c r="C7" s="31"/>
      <c r="D7" s="27" t="s">
        <v>49</v>
      </c>
      <c r="E7" s="27"/>
      <c r="F7" s="27"/>
      <c r="G7" s="27"/>
      <c r="H7" s="27"/>
      <c r="I7" s="27"/>
    </row>
    <row r="8" spans="2:12" x14ac:dyDescent="0.3">
      <c r="B8" s="27" t="s">
        <v>29</v>
      </c>
      <c r="C8" s="32" t="s">
        <v>42</v>
      </c>
      <c r="D8" s="34" t="s">
        <v>50</v>
      </c>
      <c r="E8" s="34" t="s">
        <v>51</v>
      </c>
      <c r="F8" s="34" t="s">
        <v>52</v>
      </c>
      <c r="G8" s="32" t="s">
        <v>40</v>
      </c>
      <c r="H8" s="32" t="s">
        <v>41</v>
      </c>
      <c r="I8" s="32" t="s">
        <v>29</v>
      </c>
    </row>
    <row r="9" spans="2:12" ht="14.4" x14ac:dyDescent="0.3">
      <c r="B9"/>
      <c r="C9" s="6" t="s">
        <v>43</v>
      </c>
      <c r="D9" s="57">
        <f>SUM('Report 4A. SUD RC Data'!D14,'Report 4A. SUD RC Data'!D21,'Report 4A. SUD RC Data'!D28,'Report 4A. SUD RC Data'!D35,'Report 4A. SUD RC Data'!D42,'Report 4A. SUD RC Data'!D49,'Report 4A. SUD RC Data'!D56,'Report 4A. SUD RC Data'!D63,'Report 4A. SUD RC Data'!D70,'Report 4A. SUD RC Data'!D77,'Report 4A. SUD RC Data'!D84,'Report 4A. SUD RC Data'!D91)</f>
        <v>0</v>
      </c>
      <c r="E9" s="57">
        <f>SUM('Report 4A. SUD RC Data'!E14,'Report 4A. SUD RC Data'!E21,'Report 4A. SUD RC Data'!E28,'Report 4A. SUD RC Data'!E35,'Report 4A. SUD RC Data'!E42,'Report 4A. SUD RC Data'!E49,'Report 4A. SUD RC Data'!E56,'Report 4A. SUD RC Data'!E63,'Report 4A. SUD RC Data'!E70,'Report 4A. SUD RC Data'!E77,'Report 4A. SUD RC Data'!E84,'Report 4A. SUD RC Data'!E91)</f>
        <v>0</v>
      </c>
      <c r="F9" s="57">
        <f>SUM('Report 4A. SUD RC Data'!F14,'Report 4A. SUD RC Data'!F21,'Report 4A. SUD RC Data'!F28,'Report 4A. SUD RC Data'!F35,'Report 4A. SUD RC Data'!F42,'Report 4A. SUD RC Data'!F49,'Report 4A. SUD RC Data'!F56,'Report 4A. SUD RC Data'!F63,'Report 4A. SUD RC Data'!F70,'Report 4A. SUD RC Data'!F77,'Report 4A. SUD RC Data'!F84,'Report 4A. SUD RC Data'!F91)</f>
        <v>3475</v>
      </c>
      <c r="G9" s="57">
        <f>SUM('Report 4A. SUD RC Data'!G14,'Report 4A. SUD RC Data'!G21,'Report 4A. SUD RC Data'!G28,'Report 4A. SUD RC Data'!G35,'Report 4A. SUD RC Data'!G42,'Report 4A. SUD RC Data'!G49,'Report 4A. SUD RC Data'!G56,'Report 4A. SUD RC Data'!G63,'Report 4A. SUD RC Data'!G70,'Report 4A. SUD RC Data'!G77,'Report 4A. SUD RC Data'!G84,'Report 4A. SUD RC Data'!G91)</f>
        <v>5392</v>
      </c>
      <c r="H9" s="57">
        <f>SUM('Report 4A. SUD RC Data'!H14,'Report 4A. SUD RC Data'!H21,'Report 4A. SUD RC Data'!H28,'Report 4A. SUD RC Data'!H35,'Report 4A. SUD RC Data'!H42,'Report 4A. SUD RC Data'!H49,'Report 4A. SUD RC Data'!H56,'Report 4A. SUD RC Data'!H63,'Report 4A. SUD RC Data'!H70,'Report 4A. SUD RC Data'!H77,'Report 4A. SUD RC Data'!H84,'Report 4A. SUD RC Data'!H91)</f>
        <v>1908</v>
      </c>
      <c r="I9" s="57">
        <f>SUM(D9:H9)</f>
        <v>10775</v>
      </c>
    </row>
    <row r="10" spans="2:12" ht="14.4" x14ac:dyDescent="0.3">
      <c r="B10"/>
      <c r="C10" s="6" t="s">
        <v>44</v>
      </c>
      <c r="D10" s="57">
        <f>SUM('Report 4A. SUD RC Data'!D15,'Report 4A. SUD RC Data'!D22,'Report 4A. SUD RC Data'!D29,'Report 4A. SUD RC Data'!D36,'Report 4A. SUD RC Data'!D43,'Report 4A. SUD RC Data'!D50,'Report 4A. SUD RC Data'!D57,'Report 4A. SUD RC Data'!D64,'Report 4A. SUD RC Data'!D71,'Report 4A. SUD RC Data'!D78,'Report 4A. SUD RC Data'!D85,'Report 4A. SUD RC Data'!D92)</f>
        <v>3790</v>
      </c>
      <c r="E10" s="57">
        <f>SUM('Report 4A. SUD RC Data'!E15,'Report 4A. SUD RC Data'!E22,'Report 4A. SUD RC Data'!E29,'Report 4A. SUD RC Data'!E36,'Report 4A. SUD RC Data'!E43,'Report 4A. SUD RC Data'!E50,'Report 4A. SUD RC Data'!E57,'Report 4A. SUD RC Data'!E64,'Report 4A. SUD RC Data'!E71,'Report 4A. SUD RC Data'!E78,'Report 4A. SUD RC Data'!E85,'Report 4A. SUD RC Data'!E92)</f>
        <v>6746</v>
      </c>
      <c r="F10" s="57">
        <f>SUM('Report 4A. SUD RC Data'!F15,'Report 4A. SUD RC Data'!F22,'Report 4A. SUD RC Data'!F29,'Report 4A. SUD RC Data'!F36,'Report 4A. SUD RC Data'!F43,'Report 4A. SUD RC Data'!F50,'Report 4A. SUD RC Data'!F57,'Report 4A. SUD RC Data'!F64,'Report 4A. SUD RC Data'!F71,'Report 4A. SUD RC Data'!F78,'Report 4A. SUD RC Data'!F85,'Report 4A. SUD RC Data'!F92)</f>
        <v>1</v>
      </c>
      <c r="G10" s="57">
        <f>SUM('Report 4A. SUD RC Data'!G15,'Report 4A. SUD RC Data'!G22,'Report 4A. SUD RC Data'!G29,'Report 4A. SUD RC Data'!G36,'Report 4A. SUD RC Data'!G43,'Report 4A. SUD RC Data'!G50,'Report 4A. SUD RC Data'!G57,'Report 4A. SUD RC Data'!G64,'Report 4A. SUD RC Data'!G71,'Report 4A. SUD RC Data'!G78,'Report 4A. SUD RC Data'!G85,'Report 4A. SUD RC Data'!G92)</f>
        <v>0</v>
      </c>
      <c r="H10" s="57">
        <f>SUM('Report 4A. SUD RC Data'!H15,'Report 4A. SUD RC Data'!H22,'Report 4A. SUD RC Data'!H29,'Report 4A. SUD RC Data'!H36,'Report 4A. SUD RC Data'!H43,'Report 4A. SUD RC Data'!H50,'Report 4A. SUD RC Data'!H57,'Report 4A. SUD RC Data'!H64,'Report 4A. SUD RC Data'!H71,'Report 4A. SUD RC Data'!H78,'Report 4A. SUD RC Data'!H85,'Report 4A. SUD RC Data'!H92)</f>
        <v>0</v>
      </c>
      <c r="I10" s="57">
        <f t="shared" ref="I10:I12" si="0">SUM(D10:H10)</f>
        <v>10537</v>
      </c>
    </row>
    <row r="11" spans="2:12" ht="15" thickBot="1" x14ac:dyDescent="0.35">
      <c r="B11"/>
      <c r="C11" s="8" t="s">
        <v>45</v>
      </c>
      <c r="D11" s="58">
        <f>SUM('Report 4A. SUD RC Data'!D16,'Report 4A. SUD RC Data'!D23,'Report 4A. SUD RC Data'!D30,'Report 4A. SUD RC Data'!D37,'Report 4A. SUD RC Data'!D44,'Report 4A. SUD RC Data'!D51,'Report 4A. SUD RC Data'!D58,'Report 4A. SUD RC Data'!D65,'Report 4A. SUD RC Data'!D72,'Report 4A. SUD RC Data'!D79,'Report 4A. SUD RC Data'!D86,'Report 4A. SUD RC Data'!D93)</f>
        <v>0</v>
      </c>
      <c r="E11" s="58">
        <f>SUM('Report 4A. SUD RC Data'!E16,'Report 4A. SUD RC Data'!E23,'Report 4A. SUD RC Data'!E30,'Report 4A. SUD RC Data'!E37,'Report 4A. SUD RC Data'!E44,'Report 4A. SUD RC Data'!E51,'Report 4A. SUD RC Data'!E58,'Report 4A. SUD RC Data'!E65,'Report 4A. SUD RC Data'!E72,'Report 4A. SUD RC Data'!E79,'Report 4A. SUD RC Data'!E86,'Report 4A. SUD RC Data'!E93)</f>
        <v>0</v>
      </c>
      <c r="F11" s="58">
        <f>SUM('Report 4A. SUD RC Data'!F16,'Report 4A. SUD RC Data'!F23,'Report 4A. SUD RC Data'!F30,'Report 4A. SUD RC Data'!F37,'Report 4A. SUD RC Data'!F44,'Report 4A. SUD RC Data'!F51,'Report 4A. SUD RC Data'!F58,'Report 4A. SUD RC Data'!F65,'Report 4A. SUD RC Data'!F72,'Report 4A. SUD RC Data'!F79,'Report 4A. SUD RC Data'!F86,'Report 4A. SUD RC Data'!F93)</f>
        <v>27</v>
      </c>
      <c r="G11" s="58">
        <f>SUM('Report 4A. SUD RC Data'!G16,'Report 4A. SUD RC Data'!G23,'Report 4A. SUD RC Data'!G30,'Report 4A. SUD RC Data'!G37,'Report 4A. SUD RC Data'!G44,'Report 4A. SUD RC Data'!G51,'Report 4A. SUD RC Data'!G58,'Report 4A. SUD RC Data'!G65,'Report 4A. SUD RC Data'!G72,'Report 4A. SUD RC Data'!G79,'Report 4A. SUD RC Data'!G86,'Report 4A. SUD RC Data'!G93)</f>
        <v>0</v>
      </c>
      <c r="H11" s="58">
        <f>SUM('Report 4A. SUD RC Data'!H16,'Report 4A. SUD RC Data'!H23,'Report 4A. SUD RC Data'!H30,'Report 4A. SUD RC Data'!H37,'Report 4A. SUD RC Data'!H44,'Report 4A. SUD RC Data'!H51,'Report 4A. SUD RC Data'!H58,'Report 4A. SUD RC Data'!H65,'Report 4A. SUD RC Data'!H72,'Report 4A. SUD RC Data'!H79,'Report 4A. SUD RC Data'!H86,'Report 4A. SUD RC Data'!H93)</f>
        <v>1980</v>
      </c>
      <c r="I11" s="58">
        <f t="shared" si="0"/>
        <v>2007</v>
      </c>
    </row>
    <row r="12" spans="2:12" ht="15" thickTop="1" x14ac:dyDescent="0.3">
      <c r="B12"/>
      <c r="C12" s="36" t="s">
        <v>29</v>
      </c>
      <c r="D12" s="59">
        <f>SUM(D9:D11)</f>
        <v>3790</v>
      </c>
      <c r="E12" s="59">
        <f t="shared" ref="E12:H12" si="1">SUM(E9:E11)</f>
        <v>6746</v>
      </c>
      <c r="F12" s="59">
        <f t="shared" si="1"/>
        <v>3503</v>
      </c>
      <c r="G12" s="59">
        <f t="shared" si="1"/>
        <v>5392</v>
      </c>
      <c r="H12" s="59">
        <f t="shared" si="1"/>
        <v>3888</v>
      </c>
      <c r="I12" s="59">
        <f t="shared" si="0"/>
        <v>23319</v>
      </c>
    </row>
    <row r="13" spans="2:12" ht="14.4" x14ac:dyDescent="0.3">
      <c r="B13"/>
      <c r="C13"/>
      <c r="D13"/>
      <c r="E13"/>
      <c r="F13"/>
      <c r="G13"/>
      <c r="H13"/>
      <c r="I13"/>
      <c r="L13"/>
    </row>
    <row r="14" spans="2:12" ht="14.4" x14ac:dyDescent="0.3">
      <c r="C14" s="31"/>
      <c r="D14" s="27" t="s">
        <v>70</v>
      </c>
      <c r="E14" s="27"/>
      <c r="F14" s="27"/>
      <c r="G14" s="27"/>
      <c r="H14" s="27"/>
      <c r="I14" s="27"/>
      <c r="L14"/>
    </row>
    <row r="15" spans="2:12" ht="14.4" x14ac:dyDescent="0.3">
      <c r="B15" s="27" t="str">
        <f>B8</f>
        <v>Total</v>
      </c>
      <c r="C15" s="32" t="s">
        <v>42</v>
      </c>
      <c r="D15" s="34" t="s">
        <v>50</v>
      </c>
      <c r="E15" s="34" t="s">
        <v>51</v>
      </c>
      <c r="F15" s="34" t="s">
        <v>52</v>
      </c>
      <c r="G15" s="32" t="s">
        <v>40</v>
      </c>
      <c r="H15" s="32" t="s">
        <v>41</v>
      </c>
      <c r="I15" s="32" t="s">
        <v>29</v>
      </c>
      <c r="L15"/>
    </row>
    <row r="16" spans="2:12" ht="14.4" x14ac:dyDescent="0.3">
      <c r="B16"/>
      <c r="C16" s="6" t="s">
        <v>43</v>
      </c>
      <c r="D16" s="60">
        <f>SUM('Report 4A. SUD RC Data'!L14,'Report 4A. SUD RC Data'!L21,'Report 4A. SUD RC Data'!L28,'Report 4A. SUD RC Data'!L35,'Report 4A. SUD RC Data'!L42,'Report 4A. SUD RC Data'!L49,'Report 4A. SUD RC Data'!L56,'Report 4A. SUD RC Data'!L63,'Report 4A. SUD RC Data'!L70,'Report 4A. SUD RC Data'!L77,'Report 4A. SUD RC Data'!L84,'Report 4A. SUD RC Data'!L91)</f>
        <v>0</v>
      </c>
      <c r="E16" s="60">
        <f>SUM('Report 4A. SUD RC Data'!M14,'Report 4A. SUD RC Data'!M21,'Report 4A. SUD RC Data'!M28,'Report 4A. SUD RC Data'!M35,'Report 4A. SUD RC Data'!M42,'Report 4A. SUD RC Data'!M49,'Report 4A. SUD RC Data'!M56,'Report 4A. SUD RC Data'!M63,'Report 4A. SUD RC Data'!M70,'Report 4A. SUD RC Data'!M77,'Report 4A. SUD RC Data'!M84,'Report 4A. SUD RC Data'!M91)</f>
        <v>0</v>
      </c>
      <c r="F16" s="60">
        <f>SUM('Report 4A. SUD RC Data'!N14,'Report 4A. SUD RC Data'!N21,'Report 4A. SUD RC Data'!N28,'Report 4A. SUD RC Data'!N35,'Report 4A. SUD RC Data'!N42,'Report 4A. SUD RC Data'!N49,'Report 4A. SUD RC Data'!N56,'Report 4A. SUD RC Data'!N63,'Report 4A. SUD RC Data'!N70,'Report 4A. SUD RC Data'!N77,'Report 4A. SUD RC Data'!N84,'Report 4A. SUD RC Data'!N91)</f>
        <v>1991650</v>
      </c>
      <c r="G16" s="60">
        <f>SUM('Report 4A. SUD RC Data'!O14,'Report 4A. SUD RC Data'!O21,'Report 4A. SUD RC Data'!O28,'Report 4A. SUD RC Data'!O35,'Report 4A. SUD RC Data'!O42,'Report 4A. SUD RC Data'!O49,'Report 4A. SUD RC Data'!O56,'Report 4A. SUD RC Data'!O63,'Report 4A. SUD RC Data'!O70,'Report 4A. SUD RC Data'!O77,'Report 4A. SUD RC Data'!O84,'Report 4A. SUD RC Data'!O91)</f>
        <v>2284420</v>
      </c>
      <c r="H16" s="60">
        <f>SUM('Report 4A. SUD RC Data'!P14,'Report 4A. SUD RC Data'!P21,'Report 4A. SUD RC Data'!P28,'Report 4A. SUD RC Data'!P35,'Report 4A. SUD RC Data'!P42,'Report 4A. SUD RC Data'!P49,'Report 4A. SUD RC Data'!P56,'Report 4A. SUD RC Data'!P63,'Report 4A. SUD RC Data'!P70,'Report 4A. SUD RC Data'!P77,'Report 4A. SUD RC Data'!P84,'Report 4A. SUD RC Data'!P91)</f>
        <v>1664180.4900000002</v>
      </c>
      <c r="I16" s="60">
        <f>SUM(D16:H16)</f>
        <v>5940250.4900000002</v>
      </c>
      <c r="L16"/>
    </row>
    <row r="17" spans="2:14" ht="14.4" x14ac:dyDescent="0.3">
      <c r="B17"/>
      <c r="C17" s="6" t="s">
        <v>44</v>
      </c>
      <c r="D17" s="60">
        <f>SUM('Report 4A. SUD RC Data'!L15,'Report 4A. SUD RC Data'!L22,'Report 4A. SUD RC Data'!L29,'Report 4A. SUD RC Data'!L36,'Report 4A. SUD RC Data'!L43,'Report 4A. SUD RC Data'!L50,'Report 4A. SUD RC Data'!L57,'Report 4A. SUD RC Data'!L64,'Report 4A. SUD RC Data'!L71,'Report 4A. SUD RC Data'!L78,'Report 4A. SUD RC Data'!L85,'Report 4A. SUD RC Data'!L92)</f>
        <v>762363.01999999979</v>
      </c>
      <c r="E17" s="60">
        <f>SUM('Report 4A. SUD RC Data'!M15,'Report 4A. SUD RC Data'!M22,'Report 4A. SUD RC Data'!M29,'Report 4A. SUD RC Data'!M36,'Report 4A. SUD RC Data'!M43,'Report 4A. SUD RC Data'!M50,'Report 4A. SUD RC Data'!M57,'Report 4A. SUD RC Data'!M64,'Report 4A. SUD RC Data'!M71,'Report 4A. SUD RC Data'!M78,'Report 4A. SUD RC Data'!M85,'Report 4A. SUD RC Data'!M92)</f>
        <v>1618060.58</v>
      </c>
      <c r="F17" s="60">
        <f>SUM('Report 4A. SUD RC Data'!N15,'Report 4A. SUD RC Data'!N22,'Report 4A. SUD RC Data'!N29,'Report 4A. SUD RC Data'!N36,'Report 4A. SUD RC Data'!N43,'Report 4A. SUD RC Data'!N50,'Report 4A. SUD RC Data'!N57,'Report 4A. SUD RC Data'!N64,'Report 4A. SUD RC Data'!N71,'Report 4A. SUD RC Data'!N78,'Report 4A. SUD RC Data'!N85,'Report 4A. SUD RC Data'!N92)</f>
        <v>487.5</v>
      </c>
      <c r="G17" s="60">
        <f>SUM('Report 4A. SUD RC Data'!O15,'Report 4A. SUD RC Data'!O22,'Report 4A. SUD RC Data'!O29,'Report 4A. SUD RC Data'!O36,'Report 4A. SUD RC Data'!O43,'Report 4A. SUD RC Data'!O50,'Report 4A. SUD RC Data'!O57,'Report 4A. SUD RC Data'!O64,'Report 4A. SUD RC Data'!O71,'Report 4A. SUD RC Data'!O78,'Report 4A. SUD RC Data'!O85,'Report 4A. SUD RC Data'!O92)</f>
        <v>0</v>
      </c>
      <c r="H17" s="60">
        <f>SUM('Report 4A. SUD RC Data'!P15,'Report 4A. SUD RC Data'!P22,'Report 4A. SUD RC Data'!P29,'Report 4A. SUD RC Data'!P36,'Report 4A. SUD RC Data'!P43,'Report 4A. SUD RC Data'!P50,'Report 4A. SUD RC Data'!P57,'Report 4A. SUD RC Data'!P64,'Report 4A. SUD RC Data'!P71,'Report 4A. SUD RC Data'!P78,'Report 4A. SUD RC Data'!P85,'Report 4A. SUD RC Data'!P92)</f>
        <v>0</v>
      </c>
      <c r="I17" s="60">
        <f t="shared" ref="I17:I19" si="2">SUM(D17:H17)</f>
        <v>2380911.0999999996</v>
      </c>
      <c r="L17"/>
    </row>
    <row r="18" spans="2:14" ht="15" thickBot="1" x14ac:dyDescent="0.35">
      <c r="B18"/>
      <c r="C18" s="8" t="s">
        <v>45</v>
      </c>
      <c r="D18" s="61">
        <f>SUM('Report 4A. SUD RC Data'!L16,'Report 4A. SUD RC Data'!L23,'Report 4A. SUD RC Data'!L30,'Report 4A. SUD RC Data'!L37,'Report 4A. SUD RC Data'!L44,'Report 4A. SUD RC Data'!L51,'Report 4A. SUD RC Data'!L58,'Report 4A. SUD RC Data'!L65,'Report 4A. SUD RC Data'!L72,'Report 4A. SUD RC Data'!L79,'Report 4A. SUD RC Data'!L86,'Report 4A. SUD RC Data'!L93)</f>
        <v>0</v>
      </c>
      <c r="E18" s="61">
        <f>SUM('Report 4A. SUD RC Data'!M16,'Report 4A. SUD RC Data'!M23,'Report 4A. SUD RC Data'!M30,'Report 4A. SUD RC Data'!M37,'Report 4A. SUD RC Data'!M44,'Report 4A. SUD RC Data'!M51,'Report 4A. SUD RC Data'!M58,'Report 4A. SUD RC Data'!M65,'Report 4A. SUD RC Data'!M72,'Report 4A. SUD RC Data'!M79,'Report 4A. SUD RC Data'!M86,'Report 4A. SUD RC Data'!M93)</f>
        <v>0</v>
      </c>
      <c r="F18" s="61">
        <f>SUM('Report 4A. SUD RC Data'!N16,'Report 4A. SUD RC Data'!N23,'Report 4A. SUD RC Data'!N30,'Report 4A. SUD RC Data'!N37,'Report 4A. SUD RC Data'!N44,'Report 4A. SUD RC Data'!N51,'Report 4A. SUD RC Data'!N58,'Report 4A. SUD RC Data'!N65,'Report 4A. SUD RC Data'!N72,'Report 4A. SUD RC Data'!N79,'Report 4A. SUD RC Data'!N86,'Report 4A. SUD RC Data'!N93)</f>
        <v>7856.3600000000006</v>
      </c>
      <c r="G18" s="61">
        <f>SUM('Report 4A. SUD RC Data'!O16,'Report 4A. SUD RC Data'!O23,'Report 4A. SUD RC Data'!O30,'Report 4A. SUD RC Data'!O37,'Report 4A. SUD RC Data'!O44,'Report 4A. SUD RC Data'!O51,'Report 4A. SUD RC Data'!O58,'Report 4A. SUD RC Data'!O65,'Report 4A. SUD RC Data'!O72,'Report 4A. SUD RC Data'!O79,'Report 4A. SUD RC Data'!O86,'Report 4A. SUD RC Data'!O93)</f>
        <v>0</v>
      </c>
      <c r="H18" s="61">
        <f>SUM('Report 4A. SUD RC Data'!P16,'Report 4A. SUD RC Data'!P23,'Report 4A. SUD RC Data'!P30,'Report 4A. SUD RC Data'!P37,'Report 4A. SUD RC Data'!P44,'Report 4A. SUD RC Data'!P51,'Report 4A. SUD RC Data'!P58,'Report 4A. SUD RC Data'!P65,'Report 4A. SUD RC Data'!P72,'Report 4A. SUD RC Data'!P79,'Report 4A. SUD RC Data'!P86,'Report 4A. SUD RC Data'!P93)</f>
        <v>1740093.7500000002</v>
      </c>
      <c r="I18" s="61">
        <f t="shared" si="2"/>
        <v>1747950.1100000003</v>
      </c>
      <c r="L18"/>
    </row>
    <row r="19" spans="2:14" ht="15" thickTop="1" x14ac:dyDescent="0.3">
      <c r="B19"/>
      <c r="C19" s="36" t="s">
        <v>29</v>
      </c>
      <c r="D19" s="62">
        <f>SUM(D16:D18)</f>
        <v>762363.01999999979</v>
      </c>
      <c r="E19" s="62">
        <f t="shared" ref="E19:H19" si="3">SUM(E16:E18)</f>
        <v>1618060.58</v>
      </c>
      <c r="F19" s="62">
        <f t="shared" si="3"/>
        <v>1999993.86</v>
      </c>
      <c r="G19" s="62">
        <f t="shared" si="3"/>
        <v>2284420</v>
      </c>
      <c r="H19" s="62">
        <f t="shared" si="3"/>
        <v>3404274.24</v>
      </c>
      <c r="I19" s="62">
        <f t="shared" si="2"/>
        <v>10069111.699999999</v>
      </c>
      <c r="L19"/>
    </row>
    <row r="20" spans="2:14" ht="14.4" x14ac:dyDescent="0.3">
      <c r="B20"/>
      <c r="C20"/>
      <c r="D20"/>
      <c r="E20"/>
      <c r="F20"/>
      <c r="G20"/>
      <c r="H20"/>
      <c r="I20"/>
      <c r="L20"/>
    </row>
    <row r="21" spans="2:14" ht="14.4" x14ac:dyDescent="0.3">
      <c r="C21" s="31"/>
      <c r="D21" s="27" t="s">
        <v>56</v>
      </c>
      <c r="E21" s="27"/>
      <c r="F21" s="27"/>
      <c r="G21" s="27"/>
      <c r="H21" s="27"/>
      <c r="I21" s="27"/>
      <c r="J21"/>
      <c r="L21"/>
    </row>
    <row r="22" spans="2:14" ht="14.4" x14ac:dyDescent="0.3">
      <c r="B22" s="83" t="str">
        <f>B15</f>
        <v>Total</v>
      </c>
      <c r="C22" s="65" t="s">
        <v>42</v>
      </c>
      <c r="D22" s="66" t="s">
        <v>50</v>
      </c>
      <c r="E22" s="66" t="s">
        <v>51</v>
      </c>
      <c r="F22" s="66" t="s">
        <v>52</v>
      </c>
      <c r="G22" s="65" t="s">
        <v>40</v>
      </c>
      <c r="H22" s="65" t="s">
        <v>41</v>
      </c>
      <c r="I22" s="65" t="s">
        <v>74</v>
      </c>
      <c r="J22"/>
      <c r="L22"/>
    </row>
    <row r="23" spans="2:14" ht="14.4" x14ac:dyDescent="0.3">
      <c r="B23"/>
      <c r="C23" s="6" t="s">
        <v>43</v>
      </c>
      <c r="D23" s="28">
        <f t="shared" ref="D23:H26" si="4">IF(D9 = 0,0,D16/D9)</f>
        <v>0</v>
      </c>
      <c r="E23" s="28">
        <f t="shared" si="4"/>
        <v>0</v>
      </c>
      <c r="F23" s="28">
        <f t="shared" si="4"/>
        <v>573.13669064748206</v>
      </c>
      <c r="G23" s="28">
        <f t="shared" si="4"/>
        <v>423.66839762611278</v>
      </c>
      <c r="H23" s="28">
        <f t="shared" si="4"/>
        <v>872.211996855346</v>
      </c>
      <c r="I23" s="28">
        <f>IF(I9=0,0,SUMPRODUCT(D23:H23,D9:H9)/I9)</f>
        <v>551.29934941995361</v>
      </c>
      <c r="J23"/>
      <c r="L23"/>
    </row>
    <row r="24" spans="2:14" ht="14.4" x14ac:dyDescent="0.3">
      <c r="B24"/>
      <c r="C24" s="6" t="s">
        <v>44</v>
      </c>
      <c r="D24" s="28">
        <f t="shared" si="4"/>
        <v>201.15119261213715</v>
      </c>
      <c r="E24" s="28">
        <f t="shared" si="4"/>
        <v>239.8548147050104</v>
      </c>
      <c r="F24" s="28">
        <f t="shared" si="4"/>
        <v>487.5</v>
      </c>
      <c r="G24" s="28">
        <f t="shared" si="4"/>
        <v>0</v>
      </c>
      <c r="H24" s="28">
        <f t="shared" si="4"/>
        <v>0</v>
      </c>
      <c r="I24" s="28">
        <f>IF(I10=0,0,SUMPRODUCT(D24:H24,D10:H10)/I10)</f>
        <v>225.95720793394702</v>
      </c>
      <c r="J24"/>
      <c r="L24"/>
    </row>
    <row r="25" spans="2:14" ht="15" thickBot="1" x14ac:dyDescent="0.35">
      <c r="B25"/>
      <c r="C25" s="8" t="s">
        <v>45</v>
      </c>
      <c r="D25" s="42">
        <f t="shared" si="4"/>
        <v>0</v>
      </c>
      <c r="E25" s="42">
        <f t="shared" si="4"/>
        <v>0</v>
      </c>
      <c r="F25" s="42">
        <f t="shared" si="4"/>
        <v>290.97629629629631</v>
      </c>
      <c r="G25" s="42">
        <f t="shared" si="4"/>
        <v>0</v>
      </c>
      <c r="H25" s="42">
        <f t="shared" si="4"/>
        <v>878.83522727272737</v>
      </c>
      <c r="I25" s="42">
        <f>IF(I11=0,0,SUMPRODUCT(D25:H25,D11:H11)/I11)</f>
        <v>870.92681116093684</v>
      </c>
      <c r="J25"/>
      <c r="L25"/>
    </row>
    <row r="26" spans="2:14" ht="15" thickTop="1" x14ac:dyDescent="0.3">
      <c r="B26"/>
      <c r="C26" s="36" t="s">
        <v>29</v>
      </c>
      <c r="D26" s="41">
        <f t="shared" si="4"/>
        <v>201.15119261213715</v>
      </c>
      <c r="E26" s="41">
        <f t="shared" si="4"/>
        <v>239.8548147050104</v>
      </c>
      <c r="F26" s="41">
        <f t="shared" si="4"/>
        <v>570.93744219240659</v>
      </c>
      <c r="G26" s="41">
        <f t="shared" si="4"/>
        <v>423.66839762611278</v>
      </c>
      <c r="H26" s="41">
        <f t="shared" si="4"/>
        <v>875.58493827160498</v>
      </c>
      <c r="I26" s="41">
        <f>IF(I12=0,0,SUMPRODUCT(D26:H26,D12:H12)/I12)</f>
        <v>431.79860628671895</v>
      </c>
      <c r="J26"/>
      <c r="L26"/>
    </row>
    <row r="27" spans="2:14" ht="14.4" x14ac:dyDescent="0.3">
      <c r="B27"/>
      <c r="C27"/>
      <c r="D27"/>
      <c r="E27"/>
      <c r="F27"/>
      <c r="G27"/>
      <c r="H27"/>
      <c r="I27"/>
      <c r="L27"/>
    </row>
    <row r="28" spans="2:14" ht="14.4" x14ac:dyDescent="0.3">
      <c r="B28"/>
      <c r="C28"/>
      <c r="D28"/>
      <c r="E28"/>
      <c r="F28"/>
      <c r="G28"/>
      <c r="H28"/>
      <c r="I28"/>
      <c r="L28"/>
    </row>
    <row r="29" spans="2:14" ht="14.4" x14ac:dyDescent="0.3">
      <c r="B29" s="56" t="s">
        <v>99</v>
      </c>
      <c r="C29"/>
      <c r="D29"/>
      <c r="E29"/>
      <c r="F29"/>
      <c r="G29"/>
      <c r="H29"/>
      <c r="I29"/>
      <c r="L29"/>
    </row>
    <row r="30" spans="2:14" ht="14.4" x14ac:dyDescent="0.3">
      <c r="B30"/>
      <c r="C30"/>
      <c r="D30"/>
      <c r="E30"/>
      <c r="F30"/>
      <c r="G30"/>
      <c r="H30"/>
      <c r="I30"/>
      <c r="L30"/>
    </row>
    <row r="31" spans="2:14" ht="14.4" x14ac:dyDescent="0.3">
      <c r="C31" s="31"/>
      <c r="D31" s="27" t="s">
        <v>57</v>
      </c>
      <c r="E31" s="27"/>
      <c r="F31" s="27"/>
      <c r="G31" s="27"/>
      <c r="H31" s="27"/>
      <c r="I31"/>
      <c r="L31"/>
    </row>
    <row r="32" spans="2:14" ht="14.4" x14ac:dyDescent="0.3">
      <c r="C32" s="65" t="s">
        <v>58</v>
      </c>
      <c r="D32" s="66" t="s">
        <v>50</v>
      </c>
      <c r="E32" s="66" t="s">
        <v>51</v>
      </c>
      <c r="F32" s="66" t="s">
        <v>52</v>
      </c>
      <c r="G32" s="65" t="s">
        <v>40</v>
      </c>
      <c r="H32" s="65" t="s">
        <v>41</v>
      </c>
      <c r="I32"/>
      <c r="L32"/>
      <c r="M32"/>
      <c r="N32"/>
    </row>
    <row r="33" spans="2:18" ht="14.4" x14ac:dyDescent="0.3">
      <c r="C33" s="6" t="s">
        <v>59</v>
      </c>
      <c r="D33" s="199">
        <v>190</v>
      </c>
      <c r="E33" s="199">
        <v>425</v>
      </c>
      <c r="F33" s="199">
        <v>650</v>
      </c>
      <c r="G33" s="199">
        <v>340</v>
      </c>
      <c r="H33" s="199">
        <v>960.62</v>
      </c>
      <c r="I33"/>
      <c r="L33"/>
      <c r="M33"/>
      <c r="N33"/>
    </row>
    <row r="34" spans="2:18" ht="14.4" x14ac:dyDescent="0.3">
      <c r="I34"/>
      <c r="L34"/>
      <c r="M34"/>
      <c r="N34"/>
    </row>
    <row r="35" spans="2:18" ht="14.4" x14ac:dyDescent="0.3">
      <c r="C35" s="43" t="s">
        <v>60</v>
      </c>
      <c r="D35" s="43"/>
      <c r="E35" s="43"/>
      <c r="F35"/>
      <c r="I35"/>
    </row>
    <row r="36" spans="2:18" ht="21.45" customHeight="1" x14ac:dyDescent="0.3">
      <c r="C36" s="67" t="s">
        <v>61</v>
      </c>
      <c r="D36" s="67" t="s">
        <v>48</v>
      </c>
      <c r="E36" s="82" t="s">
        <v>81</v>
      </c>
      <c r="F36"/>
      <c r="I36"/>
    </row>
    <row r="37" spans="2:18" ht="14.4" x14ac:dyDescent="0.3">
      <c r="C37" s="63">
        <f>IF(I12=0,0,(D33*D12+E33*E12+F33*F12+G33*G12+H33*H12)/I12)</f>
        <v>490.2556095887474</v>
      </c>
      <c r="D37" s="7">
        <f>I26</f>
        <v>431.79860628671895</v>
      </c>
      <c r="E37" s="7">
        <f>MIN(C37*1.05,D37)</f>
        <v>431.79860628671895</v>
      </c>
      <c r="F37"/>
    </row>
    <row r="39" spans="2:18" ht="14.4" x14ac:dyDescent="0.3">
      <c r="B39" s="77" t="s">
        <v>53</v>
      </c>
      <c r="C39" s="77"/>
      <c r="D39" s="77"/>
      <c r="E39" s="77"/>
      <c r="F39" s="77"/>
      <c r="G39"/>
      <c r="H39"/>
    </row>
    <row r="40" spans="2:18" ht="14.4" x14ac:dyDescent="0.3">
      <c r="B40"/>
      <c r="C40"/>
      <c r="D40"/>
      <c r="E40"/>
      <c r="F40"/>
      <c r="G40"/>
      <c r="H40"/>
    </row>
    <row r="41" spans="2:18" ht="14.4" x14ac:dyDescent="0.3">
      <c r="B41" s="84" t="s">
        <v>54</v>
      </c>
      <c r="C41" s="84"/>
      <c r="D41" s="84"/>
      <c r="E41" s="84"/>
      <c r="F41" s="84"/>
      <c r="G41"/>
      <c r="H41"/>
    </row>
    <row r="42" spans="2:18" ht="32.700000000000003" customHeight="1" x14ac:dyDescent="0.3">
      <c r="B42" s="72" t="s">
        <v>3</v>
      </c>
      <c r="C42" s="73" t="s">
        <v>73</v>
      </c>
      <c r="D42" s="72" t="s">
        <v>44</v>
      </c>
      <c r="E42" s="72" t="s">
        <v>55</v>
      </c>
      <c r="F42" s="72" t="s">
        <v>45</v>
      </c>
      <c r="G42"/>
      <c r="H42"/>
      <c r="L42"/>
      <c r="M42"/>
      <c r="N42"/>
      <c r="O42"/>
      <c r="P42"/>
      <c r="Q42"/>
      <c r="R42"/>
    </row>
    <row r="43" spans="2:18" ht="14.4" x14ac:dyDescent="0.3">
      <c r="B43" s="76">
        <f>'Report 1. MLR Template'!K16</f>
        <v>4505852</v>
      </c>
      <c r="C43" s="200">
        <f>+'[4]SFY23 SUD Rates'!$AY$13</f>
        <v>1.4767883326087416E-2</v>
      </c>
      <c r="D43" s="200">
        <f>+'[4]SFY23 SUD Rates'!$AZ$13</f>
        <v>5.6111792158093792</v>
      </c>
      <c r="E43" s="200">
        <f>+'[4]SFY23 SUD Rates'!$BA$13</f>
        <v>7.6709312846868979E-2</v>
      </c>
      <c r="F43" s="200">
        <f>+'[4]SFY23 SUD Rates'!$BB$13</f>
        <v>0.74214833828650839</v>
      </c>
      <c r="G43" s="214"/>
      <c r="H43"/>
      <c r="L43"/>
      <c r="M43"/>
      <c r="N43"/>
      <c r="O43"/>
      <c r="P43"/>
      <c r="Q43"/>
      <c r="R43"/>
    </row>
    <row r="44" spans="2:18" ht="14.4" x14ac:dyDescent="0.3">
      <c r="L44"/>
      <c r="M44"/>
      <c r="N44"/>
      <c r="O44"/>
      <c r="P44"/>
      <c r="Q44"/>
      <c r="R44"/>
    </row>
    <row r="45" spans="2:18" ht="14.4" x14ac:dyDescent="0.3">
      <c r="L45"/>
      <c r="M45"/>
      <c r="N45"/>
      <c r="O45"/>
      <c r="P45"/>
      <c r="Q45"/>
      <c r="R45"/>
    </row>
    <row r="46" spans="2:18" ht="14.4" x14ac:dyDescent="0.3">
      <c r="B46" s="45" t="s">
        <v>80</v>
      </c>
      <c r="C46" s="46"/>
      <c r="D46" s="47"/>
      <c r="L46"/>
      <c r="M46"/>
      <c r="N46"/>
      <c r="O46"/>
      <c r="P46"/>
      <c r="Q46"/>
      <c r="R46"/>
    </row>
    <row r="47" spans="2:18" ht="14.4" x14ac:dyDescent="0.3">
      <c r="B47" s="48"/>
      <c r="L47"/>
      <c r="M47"/>
      <c r="N47"/>
      <c r="O47"/>
      <c r="P47"/>
      <c r="Q47"/>
      <c r="R47"/>
    </row>
    <row r="48" spans="2:18" ht="14.4" x14ac:dyDescent="0.3">
      <c r="B48" s="49" t="s">
        <v>63</v>
      </c>
      <c r="D48" s="50">
        <v>12</v>
      </c>
      <c r="L48"/>
      <c r="M48"/>
      <c r="N48"/>
      <c r="O48"/>
      <c r="P48"/>
      <c r="Q48"/>
      <c r="R48"/>
    </row>
    <row r="49" spans="2:18" ht="14.4" x14ac:dyDescent="0.3">
      <c r="B49" s="74" t="s">
        <v>5</v>
      </c>
      <c r="C49" s="75" t="s">
        <v>64</v>
      </c>
      <c r="D49" s="75"/>
      <c r="R49"/>
    </row>
    <row r="50" spans="2:18" ht="14.4" x14ac:dyDescent="0.3">
      <c r="B50" s="6" t="s">
        <v>6</v>
      </c>
      <c r="C50" s="51" t="s">
        <v>82</v>
      </c>
      <c r="D50" s="52">
        <f>B43*SUM(C43:F43)</f>
        <v>29039336.373608369</v>
      </c>
      <c r="E50" s="55"/>
      <c r="R50"/>
    </row>
    <row r="51" spans="2:18" x14ac:dyDescent="0.3">
      <c r="B51" s="6" t="s">
        <v>7</v>
      </c>
      <c r="C51" s="51" t="s">
        <v>83</v>
      </c>
      <c r="D51" s="52">
        <f>E37*I12+'Report 4A. SUD RC Data'!C10</f>
        <v>10156694.279999999</v>
      </c>
    </row>
    <row r="52" spans="2:18" x14ac:dyDescent="0.3">
      <c r="B52" s="6" t="s">
        <v>8</v>
      </c>
      <c r="C52" s="51" t="s">
        <v>76</v>
      </c>
      <c r="D52" s="52">
        <f>D50-D51</f>
        <v>18882642.093608372</v>
      </c>
    </row>
    <row r="53" spans="2:18" ht="14.4" thickBot="1" x14ac:dyDescent="0.35">
      <c r="B53" s="8" t="s">
        <v>9</v>
      </c>
      <c r="C53" s="91" t="s">
        <v>77</v>
      </c>
      <c r="D53" s="53">
        <f>IF(D50 = 0,0,D52/D50)</f>
        <v>0.6502435816945652</v>
      </c>
    </row>
    <row r="54" spans="2:18" ht="28.2" thickTop="1" x14ac:dyDescent="0.3">
      <c r="B54" s="79" t="s">
        <v>10</v>
      </c>
      <c r="C54" s="85" t="s">
        <v>75</v>
      </c>
      <c r="D54" s="80">
        <f>IF(D50 = 0,0,D51/D50)</f>
        <v>0.34975641830543486</v>
      </c>
    </row>
    <row r="55" spans="2:18" ht="15" x14ac:dyDescent="0.3">
      <c r="B55" s="92" t="s">
        <v>84</v>
      </c>
      <c r="C55" s="86" t="s">
        <v>85</v>
      </c>
      <c r="D55" s="28">
        <f>IF(D54&lt;0.95,-(0.95*D50-D51),IF(D54&gt;1.05,-(1.05*D50-D51),0))</f>
        <v>-17430675.274927951</v>
      </c>
      <c r="E55" s="78"/>
      <c r="F55" s="78"/>
    </row>
    <row r="56" spans="2:18" x14ac:dyDescent="0.3">
      <c r="B56" s="6" t="s">
        <v>86</v>
      </c>
      <c r="C56" s="86" t="s">
        <v>87</v>
      </c>
      <c r="D56" s="28">
        <f>IF(AND(D54&gt;0.99,D54&lt;1.01),0,MIN(MAX(D54,0.95),1.05)-IF(D54&lt;0.99,0.99,1.01))*0.5*D50</f>
        <v>-580786.72747216793</v>
      </c>
      <c r="F56" s="78"/>
    </row>
    <row r="57" spans="2:18" x14ac:dyDescent="0.3">
      <c r="B57" s="6" t="s">
        <v>88</v>
      </c>
      <c r="C57" s="86" t="s">
        <v>89</v>
      </c>
      <c r="D57" s="28">
        <v>0</v>
      </c>
    </row>
    <row r="58" spans="2:18" ht="28.2" thickBot="1" x14ac:dyDescent="0.35">
      <c r="B58" s="81" t="s">
        <v>11</v>
      </c>
      <c r="C58" s="87" t="s">
        <v>78</v>
      </c>
      <c r="D58" s="94">
        <f>SUM(D55:D57)</f>
        <v>-18011462.002400119</v>
      </c>
    </row>
    <row r="59" spans="2:18" ht="14.4" thickTop="1" x14ac:dyDescent="0.3">
      <c r="B59" s="93" t="s">
        <v>90</v>
      </c>
    </row>
    <row r="60" spans="2:18" ht="14.4" x14ac:dyDescent="0.3">
      <c r="B60"/>
      <c r="C60"/>
      <c r="D60"/>
      <c r="E60"/>
      <c r="F60"/>
      <c r="G60"/>
      <c r="H60"/>
    </row>
    <row r="61" spans="2:18" ht="14.4" x14ac:dyDescent="0.3">
      <c r="B61"/>
      <c r="C61"/>
      <c r="D61"/>
      <c r="E61"/>
      <c r="F61"/>
      <c r="G61"/>
      <c r="H61"/>
    </row>
    <row r="62" spans="2:18" ht="14.4" x14ac:dyDescent="0.3">
      <c r="B62"/>
      <c r="C62"/>
      <c r="D62"/>
      <c r="E62"/>
      <c r="F62"/>
      <c r="G62"/>
      <c r="H62"/>
    </row>
    <row r="63" spans="2:18" ht="14.4" x14ac:dyDescent="0.3">
      <c r="B63"/>
      <c r="C63"/>
      <c r="D63"/>
      <c r="E63"/>
      <c r="F63"/>
      <c r="G63"/>
      <c r="H63"/>
    </row>
    <row r="64" spans="2:18" ht="14.4" x14ac:dyDescent="0.3">
      <c r="B64"/>
      <c r="C64"/>
      <c r="D64"/>
      <c r="E64"/>
      <c r="F64"/>
      <c r="G64"/>
      <c r="H64"/>
    </row>
  </sheetData>
  <printOptions horizontalCentered="1"/>
  <pageMargins left="0.7" right="0.7" top="0.75" bottom="0.75" header="0.3" footer="0.3"/>
  <pageSetup fitToWidth="3" orientation="landscape" r:id="rId1"/>
  <headerFooter>
    <oddHeader>&amp;LCO HCPF - BH&amp;RDraft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7"/>
  <sheetViews>
    <sheetView showGridLines="0" workbookViewId="0">
      <selection activeCell="L32" sqref="L32"/>
    </sheetView>
  </sheetViews>
  <sheetFormatPr defaultColWidth="8.77734375" defaultRowHeight="15" customHeight="1" x14ac:dyDescent="0.3"/>
  <cols>
    <col min="1" max="1" width="8.77734375" customWidth="1"/>
    <col min="2" max="10" width="10.77734375" customWidth="1"/>
  </cols>
  <sheetData>
    <row r="2" spans="2:3" ht="15" customHeight="1" x14ac:dyDescent="0.3">
      <c r="B2" s="9" t="s">
        <v>69</v>
      </c>
      <c r="C2" s="10" t="str">
        <f>Overview!$C$11</f>
        <v>Colorado Access</v>
      </c>
    </row>
    <row r="3" spans="2:3" ht="15" customHeight="1" x14ac:dyDescent="0.3">
      <c r="B3" s="9" t="s">
        <v>71</v>
      </c>
      <c r="C3" s="10" t="str">
        <f>Overview!C12</f>
        <v>Region 3</v>
      </c>
    </row>
    <row r="4" spans="2:3" ht="15" customHeight="1" x14ac:dyDescent="0.3">
      <c r="B4" s="9" t="s">
        <v>20</v>
      </c>
      <c r="C4" s="11" t="s">
        <v>112</v>
      </c>
    </row>
    <row r="5" spans="2:3" ht="15" customHeight="1" x14ac:dyDescent="0.3">
      <c r="B5" s="9" t="s">
        <v>21</v>
      </c>
      <c r="C5" s="10" t="str">
        <f>Overview!$C$13</f>
        <v>July 1, 2022 - June 30, 2023</v>
      </c>
    </row>
    <row r="7" spans="2:3" ht="15" customHeight="1" x14ac:dyDescent="0.3">
      <c r="B7" s="5" t="s">
        <v>111</v>
      </c>
    </row>
  </sheetData>
  <pageMargins left="0.7" right="0.7" top="0.75" bottom="0.75" header="0.3" footer="0.3"/>
  <pageSetup fitToHeight="0" orientation="landscape" r:id="rId1"/>
  <headerFooter>
    <oddHeader>&amp;LCO HCPF - BH&amp;RDraft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2D6E-5BD2-4C28-93C4-E3CC9B3A0108}">
  <sheetPr>
    <pageSetUpPr autoPageBreaks="0"/>
  </sheetPr>
  <dimension ref="A2:I30"/>
  <sheetViews>
    <sheetView showGridLines="0" zoomScaleNormal="100" workbookViewId="0">
      <selection activeCell="C20" sqref="C20"/>
    </sheetView>
  </sheetViews>
  <sheetFormatPr defaultColWidth="8.77734375" defaultRowHeight="13.8" x14ac:dyDescent="0.3"/>
  <cols>
    <col min="1" max="1" width="4.5546875" style="5" customWidth="1"/>
    <col min="2" max="2" width="38.44140625" style="5" customWidth="1"/>
    <col min="3" max="3" width="40.44140625" style="5" customWidth="1"/>
    <col min="4" max="4" width="16.77734375" style="5" bestFit="1" customWidth="1"/>
    <col min="5" max="5" width="22.21875" style="5" customWidth="1"/>
    <col min="6" max="16384" width="8.77734375" style="5"/>
  </cols>
  <sheetData>
    <row r="2" spans="1:9" ht="20.85" customHeight="1" x14ac:dyDescent="0.3">
      <c r="A2" s="49"/>
      <c r="B2" s="100" t="s">
        <v>101</v>
      </c>
      <c r="C2" s="101"/>
    </row>
    <row r="3" spans="1:9" x14ac:dyDescent="0.3">
      <c r="B3" s="102" t="s">
        <v>102</v>
      </c>
      <c r="C3" s="102" t="s">
        <v>103</v>
      </c>
    </row>
    <row r="4" spans="1:9" x14ac:dyDescent="0.3">
      <c r="A4" s="103"/>
      <c r="B4" s="104" t="s">
        <v>104</v>
      </c>
      <c r="C4" s="104" t="s">
        <v>105</v>
      </c>
      <c r="D4" s="105"/>
    </row>
    <row r="5" spans="1:9" x14ac:dyDescent="0.3">
      <c r="B5" s="106">
        <v>5400</v>
      </c>
      <c r="C5" s="107">
        <v>8.4000000000000005E-2</v>
      </c>
      <c r="D5" s="105"/>
    </row>
    <row r="6" spans="1:9" x14ac:dyDescent="0.3">
      <c r="B6" s="106">
        <v>12000</v>
      </c>
      <c r="C6" s="107">
        <v>5.7000000000000002E-2</v>
      </c>
      <c r="D6" s="105"/>
    </row>
    <row r="7" spans="1:9" x14ac:dyDescent="0.3">
      <c r="B7" s="106">
        <v>24000</v>
      </c>
      <c r="C7" s="107">
        <v>0.04</v>
      </c>
      <c r="D7" s="105"/>
      <c r="H7" s="105"/>
    </row>
    <row r="8" spans="1:9" x14ac:dyDescent="0.3">
      <c r="B8" s="106">
        <v>48000</v>
      </c>
      <c r="C8" s="107">
        <v>2.9000000000000001E-2</v>
      </c>
      <c r="D8" s="105"/>
      <c r="H8" s="108"/>
      <c r="I8" s="109"/>
    </row>
    <row r="9" spans="1:9" x14ac:dyDescent="0.3">
      <c r="B9" s="106">
        <v>96000</v>
      </c>
      <c r="C9" s="107">
        <v>0.02</v>
      </c>
      <c r="D9" s="105"/>
      <c r="E9" s="108"/>
      <c r="F9" s="109"/>
      <c r="H9" s="110"/>
    </row>
    <row r="10" spans="1:9" x14ac:dyDescent="0.3">
      <c r="B10" s="106">
        <v>192000</v>
      </c>
      <c r="C10" s="107">
        <v>1.4999999999999999E-2</v>
      </c>
      <c r="D10" s="105"/>
    </row>
    <row r="11" spans="1:9" x14ac:dyDescent="0.3">
      <c r="B11" s="106">
        <v>380000</v>
      </c>
      <c r="C11" s="107">
        <v>0.01</v>
      </c>
      <c r="D11" s="105"/>
    </row>
    <row r="12" spans="1:9" x14ac:dyDescent="0.3">
      <c r="B12" s="104" t="s">
        <v>106</v>
      </c>
      <c r="C12" s="104" t="s">
        <v>107</v>
      </c>
    </row>
    <row r="13" spans="1:9" x14ac:dyDescent="0.3">
      <c r="B13" s="54" t="s">
        <v>108</v>
      </c>
    </row>
    <row r="15" spans="1:9" ht="14.4" thickBot="1" x14ac:dyDescent="0.35"/>
    <row r="16" spans="1:9" x14ac:dyDescent="0.3">
      <c r="B16" s="111" t="s">
        <v>109</v>
      </c>
      <c r="C16" s="112" t="s">
        <v>110</v>
      </c>
    </row>
    <row r="17" spans="2:7" ht="14.4" thickBot="1" x14ac:dyDescent="0.35">
      <c r="B17" s="209">
        <f>'Report 1. MLR Template'!K16</f>
        <v>4505852</v>
      </c>
      <c r="C17" s="198">
        <f ca="1">IF($B$17&lt;B5,"Not Credible",IF(B17&gt;$B$11,0,ROUND(IF(B17=B11,C11,(OFFSET(B3,MATCH(VLOOKUP(B17,$B$4:$C$12,1,1),$B$4:$B$12,0)+1,0)-$B$17)/(OFFSET(B3,MATCH(VLOOKUP(B17,$B$4:$C$12,1,1),$B$4:$B$12,0)+1,0)-VLOOKUP(B17,$B$4:$C$12,1,1))*(VLOOKUP(B17,$B$4:$C$12,2,1)-OFFSET(B3,MATCH(VLOOKUP(B17,$B$4:$C$12,1,1),$B$4:$B$12,0)+1,1))+OFFSET(B3,MATCH(VLOOKUP(B17,$B$4:$C$12,1,1),$B$4:$B$12,0)+1,1)),3)))</f>
        <v>0</v>
      </c>
    </row>
    <row r="18" spans="2:7" x14ac:dyDescent="0.3">
      <c r="C18" s="113"/>
    </row>
    <row r="19" spans="2:7" x14ac:dyDescent="0.3">
      <c r="C19" s="113"/>
    </row>
    <row r="21" spans="2:7" x14ac:dyDescent="0.3">
      <c r="C21" s="105"/>
      <c r="D21" s="109"/>
    </row>
    <row r="22" spans="2:7" x14ac:dyDescent="0.3">
      <c r="B22" s="109"/>
      <c r="C22" s="109"/>
      <c r="F22" s="114"/>
      <c r="G22" s="115"/>
    </row>
    <row r="23" spans="2:7" x14ac:dyDescent="0.3">
      <c r="B23" s="116"/>
      <c r="C23" s="103"/>
      <c r="G23" s="109"/>
    </row>
    <row r="24" spans="2:7" x14ac:dyDescent="0.3">
      <c r="B24" s="105"/>
      <c r="C24" s="105"/>
    </row>
    <row r="25" spans="2:7" x14ac:dyDescent="0.3">
      <c r="B25" s="103"/>
    </row>
    <row r="26" spans="2:7" x14ac:dyDescent="0.3">
      <c r="B26" s="103"/>
      <c r="C26" s="110"/>
    </row>
    <row r="28" spans="2:7" x14ac:dyDescent="0.3">
      <c r="C28" s="109"/>
    </row>
    <row r="29" spans="2:7" x14ac:dyDescent="0.3">
      <c r="C29" s="109"/>
    </row>
    <row r="30" spans="2:7" x14ac:dyDescent="0.3">
      <c r="C30" s="110"/>
    </row>
  </sheetData>
  <pageMargins left="0.45" right="0.45" top="0.75" bottom="0.75" header="0.3" footer="0.3"/>
  <pageSetup scale="72" orientation="landscape" r:id="rId1"/>
  <headerFooter>
    <oddHeader>&amp;LCO HCPF - BH&amp;RDraft and Confidential</oddHeader>
    <oddFooter>&amp;L&amp;F | &amp;A&amp;R&amp;G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53F6-5A1A-4315-8983-3EADA60A57CF}">
  <sheetPr>
    <pageSetUpPr autoPageBreaks="0" fitToPage="1"/>
  </sheetPr>
  <dimension ref="B1:N34"/>
  <sheetViews>
    <sheetView showGridLines="0" zoomScaleNormal="100" workbookViewId="0"/>
  </sheetViews>
  <sheetFormatPr defaultColWidth="8.77734375" defaultRowHeight="15" customHeight="1" x14ac:dyDescent="0.3"/>
  <cols>
    <col min="1" max="1" width="1.5546875" style="117" customWidth="1"/>
    <col min="2" max="16384" width="8.77734375" style="117"/>
  </cols>
  <sheetData>
    <row r="1" spans="2:14" ht="13.2" customHeight="1" x14ac:dyDescent="0.3"/>
    <row r="2" spans="2:14" ht="15" customHeight="1" x14ac:dyDescent="0.3">
      <c r="B2" s="10" t="s">
        <v>31</v>
      </c>
    </row>
    <row r="15" spans="2:14" ht="15" customHeight="1" x14ac:dyDescent="0.3">
      <c r="B15" s="118" t="s">
        <v>33</v>
      </c>
      <c r="C15" s="118"/>
      <c r="D15" s="118"/>
      <c r="E15" s="118"/>
      <c r="F15" s="118"/>
      <c r="G15" s="118"/>
      <c r="H15" s="118"/>
      <c r="I15" s="118"/>
      <c r="J15" s="118"/>
      <c r="K15" s="118"/>
      <c r="L15" s="118"/>
      <c r="M15" s="118"/>
      <c r="N15" s="118"/>
    </row>
    <row r="16" spans="2:14" ht="15" customHeight="1" x14ac:dyDescent="0.3">
      <c r="B16" s="233"/>
      <c r="C16" s="234"/>
      <c r="D16" s="234"/>
      <c r="E16" s="234"/>
      <c r="F16" s="234"/>
      <c r="G16" s="234"/>
      <c r="H16" s="234"/>
      <c r="I16" s="234"/>
      <c r="J16" s="234"/>
      <c r="K16" s="234"/>
      <c r="L16" s="234"/>
      <c r="M16" s="234"/>
      <c r="N16" s="235"/>
    </row>
    <row r="17" spans="2:14" ht="15" customHeight="1" x14ac:dyDescent="0.3">
      <c r="B17" s="236"/>
      <c r="C17" s="237"/>
      <c r="D17" s="237"/>
      <c r="E17" s="237"/>
      <c r="F17" s="237"/>
      <c r="G17" s="237"/>
      <c r="H17" s="237"/>
      <c r="I17" s="237"/>
      <c r="J17" s="237"/>
      <c r="K17" s="237"/>
      <c r="L17" s="237"/>
      <c r="M17" s="237"/>
      <c r="N17" s="238"/>
    </row>
    <row r="18" spans="2:14" ht="15" customHeight="1" x14ac:dyDescent="0.3">
      <c r="B18" s="236"/>
      <c r="C18" s="237"/>
      <c r="D18" s="237"/>
      <c r="E18" s="237"/>
      <c r="F18" s="237"/>
      <c r="G18" s="237"/>
      <c r="H18" s="237"/>
      <c r="I18" s="237"/>
      <c r="J18" s="237"/>
      <c r="K18" s="237"/>
      <c r="L18" s="237"/>
      <c r="M18" s="237"/>
      <c r="N18" s="238"/>
    </row>
    <row r="19" spans="2:14" ht="15" customHeight="1" x14ac:dyDescent="0.3">
      <c r="B19" s="236"/>
      <c r="C19" s="237"/>
      <c r="D19" s="237"/>
      <c r="E19" s="237"/>
      <c r="F19" s="237"/>
      <c r="G19" s="237"/>
      <c r="H19" s="237"/>
      <c r="I19" s="237"/>
      <c r="J19" s="237"/>
      <c r="K19" s="237"/>
      <c r="L19" s="237"/>
      <c r="M19" s="237"/>
      <c r="N19" s="238"/>
    </row>
    <row r="20" spans="2:14" ht="15" customHeight="1" x14ac:dyDescent="0.3">
      <c r="B20" s="236"/>
      <c r="C20" s="237"/>
      <c r="D20" s="237"/>
      <c r="E20" s="237"/>
      <c r="F20" s="237"/>
      <c r="G20" s="237"/>
      <c r="H20" s="237"/>
      <c r="I20" s="237"/>
      <c r="J20" s="237"/>
      <c r="K20" s="237"/>
      <c r="L20" s="237"/>
      <c r="M20" s="237"/>
      <c r="N20" s="238"/>
    </row>
    <row r="21" spans="2:14" ht="15" customHeight="1" x14ac:dyDescent="0.3">
      <c r="B21" s="236"/>
      <c r="C21" s="237"/>
      <c r="D21" s="237"/>
      <c r="E21" s="237"/>
      <c r="F21" s="237"/>
      <c r="G21" s="237"/>
      <c r="H21" s="237"/>
      <c r="I21" s="237"/>
      <c r="J21" s="237"/>
      <c r="K21" s="237"/>
      <c r="L21" s="237"/>
      <c r="M21" s="237"/>
      <c r="N21" s="238"/>
    </row>
    <row r="22" spans="2:14" ht="15" customHeight="1" x14ac:dyDescent="0.3">
      <c r="B22" s="236"/>
      <c r="C22" s="237"/>
      <c r="D22" s="237"/>
      <c r="E22" s="237"/>
      <c r="F22" s="237"/>
      <c r="G22" s="237"/>
      <c r="H22" s="237"/>
      <c r="I22" s="237"/>
      <c r="J22" s="237"/>
      <c r="K22" s="237"/>
      <c r="L22" s="237"/>
      <c r="M22" s="237"/>
      <c r="N22" s="238"/>
    </row>
    <row r="23" spans="2:14" ht="15" customHeight="1" x14ac:dyDescent="0.3">
      <c r="B23" s="236"/>
      <c r="C23" s="237"/>
      <c r="D23" s="237"/>
      <c r="E23" s="237"/>
      <c r="F23" s="237"/>
      <c r="G23" s="237"/>
      <c r="H23" s="237"/>
      <c r="I23" s="237"/>
      <c r="J23" s="237"/>
      <c r="K23" s="237"/>
      <c r="L23" s="237"/>
      <c r="M23" s="237"/>
      <c r="N23" s="238"/>
    </row>
    <row r="24" spans="2:14" ht="15" customHeight="1" x14ac:dyDescent="0.3">
      <c r="B24" s="236"/>
      <c r="C24" s="237"/>
      <c r="D24" s="237"/>
      <c r="E24" s="237"/>
      <c r="F24" s="237"/>
      <c r="G24" s="237"/>
      <c r="H24" s="237"/>
      <c r="I24" s="237"/>
      <c r="J24" s="237"/>
      <c r="K24" s="237"/>
      <c r="L24" s="237"/>
      <c r="M24" s="237"/>
      <c r="N24" s="238"/>
    </row>
    <row r="25" spans="2:14" ht="15" customHeight="1" x14ac:dyDescent="0.3">
      <c r="B25" s="236"/>
      <c r="C25" s="237"/>
      <c r="D25" s="237"/>
      <c r="E25" s="237"/>
      <c r="F25" s="237"/>
      <c r="G25" s="237"/>
      <c r="H25" s="237"/>
      <c r="I25" s="237"/>
      <c r="J25" s="237"/>
      <c r="K25" s="237"/>
      <c r="L25" s="237"/>
      <c r="M25" s="237"/>
      <c r="N25" s="238"/>
    </row>
    <row r="26" spans="2:14" ht="15" customHeight="1" x14ac:dyDescent="0.3">
      <c r="B26" s="236"/>
      <c r="C26" s="237"/>
      <c r="D26" s="237"/>
      <c r="E26" s="237"/>
      <c r="F26" s="237"/>
      <c r="G26" s="237"/>
      <c r="H26" s="237"/>
      <c r="I26" s="237"/>
      <c r="J26" s="237"/>
      <c r="K26" s="237"/>
      <c r="L26" s="237"/>
      <c r="M26" s="237"/>
      <c r="N26" s="238"/>
    </row>
    <row r="27" spans="2:14" ht="15" customHeight="1" x14ac:dyDescent="0.3">
      <c r="B27" s="236"/>
      <c r="C27" s="237"/>
      <c r="D27" s="237"/>
      <c r="E27" s="237"/>
      <c r="F27" s="237"/>
      <c r="G27" s="237"/>
      <c r="H27" s="237"/>
      <c r="I27" s="237"/>
      <c r="J27" s="237"/>
      <c r="K27" s="237"/>
      <c r="L27" s="237"/>
      <c r="M27" s="237"/>
      <c r="N27" s="238"/>
    </row>
    <row r="28" spans="2:14" ht="15" customHeight="1" x14ac:dyDescent="0.3">
      <c r="B28" s="236"/>
      <c r="C28" s="237"/>
      <c r="D28" s="237"/>
      <c r="E28" s="237"/>
      <c r="F28" s="237"/>
      <c r="G28" s="237"/>
      <c r="H28" s="237"/>
      <c r="I28" s="237"/>
      <c r="J28" s="237"/>
      <c r="K28" s="237"/>
      <c r="L28" s="237"/>
      <c r="M28" s="237"/>
      <c r="N28" s="238"/>
    </row>
    <row r="29" spans="2:14" ht="15" customHeight="1" x14ac:dyDescent="0.3">
      <c r="B29" s="236"/>
      <c r="C29" s="237"/>
      <c r="D29" s="237"/>
      <c r="E29" s="237"/>
      <c r="F29" s="237"/>
      <c r="G29" s="237"/>
      <c r="H29" s="237"/>
      <c r="I29" s="237"/>
      <c r="J29" s="237"/>
      <c r="K29" s="237"/>
      <c r="L29" s="237"/>
      <c r="M29" s="237"/>
      <c r="N29" s="238"/>
    </row>
    <row r="30" spans="2:14" ht="15" customHeight="1" x14ac:dyDescent="0.3">
      <c r="B30" s="236"/>
      <c r="C30" s="237"/>
      <c r="D30" s="237"/>
      <c r="E30" s="237"/>
      <c r="F30" s="237"/>
      <c r="G30" s="237"/>
      <c r="H30" s="237"/>
      <c r="I30" s="237"/>
      <c r="J30" s="237"/>
      <c r="K30" s="237"/>
      <c r="L30" s="237"/>
      <c r="M30" s="237"/>
      <c r="N30" s="238"/>
    </row>
    <row r="31" spans="2:14" ht="15" customHeight="1" x14ac:dyDescent="0.3">
      <c r="B31" s="236"/>
      <c r="C31" s="237"/>
      <c r="D31" s="237"/>
      <c r="E31" s="237"/>
      <c r="F31" s="237"/>
      <c r="G31" s="237"/>
      <c r="H31" s="237"/>
      <c r="I31" s="237"/>
      <c r="J31" s="237"/>
      <c r="K31" s="237"/>
      <c r="L31" s="237"/>
      <c r="M31" s="237"/>
      <c r="N31" s="238"/>
    </row>
    <row r="32" spans="2:14" ht="15" customHeight="1" x14ac:dyDescent="0.3">
      <c r="B32" s="236"/>
      <c r="C32" s="237"/>
      <c r="D32" s="237"/>
      <c r="E32" s="237"/>
      <c r="F32" s="237"/>
      <c r="G32" s="237"/>
      <c r="H32" s="237"/>
      <c r="I32" s="237"/>
      <c r="J32" s="237"/>
      <c r="K32" s="237"/>
      <c r="L32" s="237"/>
      <c r="M32" s="237"/>
      <c r="N32" s="238"/>
    </row>
    <row r="33" spans="2:14" ht="15" customHeight="1" x14ac:dyDescent="0.3">
      <c r="B33" s="236"/>
      <c r="C33" s="237"/>
      <c r="D33" s="237"/>
      <c r="E33" s="237"/>
      <c r="F33" s="237"/>
      <c r="G33" s="237"/>
      <c r="H33" s="237"/>
      <c r="I33" s="237"/>
      <c r="J33" s="237"/>
      <c r="K33" s="237"/>
      <c r="L33" s="237"/>
      <c r="M33" s="237"/>
      <c r="N33" s="238"/>
    </row>
    <row r="34" spans="2:14" ht="15" customHeight="1" x14ac:dyDescent="0.3">
      <c r="B34" s="239"/>
      <c r="C34" s="240"/>
      <c r="D34" s="240"/>
      <c r="E34" s="240"/>
      <c r="F34" s="240"/>
      <c r="G34" s="240"/>
      <c r="H34" s="240"/>
      <c r="I34" s="240"/>
      <c r="J34" s="240"/>
      <c r="K34" s="240"/>
      <c r="L34" s="240"/>
      <c r="M34" s="240"/>
      <c r="N34" s="241"/>
    </row>
  </sheetData>
  <mergeCells count="1">
    <mergeCell ref="B16:N34"/>
  </mergeCells>
  <pageMargins left="0.5" right="0.5" top="0.5" bottom="0.5" header="0.3" footer="0.3"/>
  <pageSetup fitToHeight="0" orientation="portrait" r:id="rId1"/>
  <headerFooter>
    <oddHeader>&amp;LCO HCPF - BH&amp;RDraft and Confidential</oddHeader>
    <oddFooter>&amp;L&amp;F | &amp;A&amp;R&amp;G</oddFooter>
  </headerFooter>
  <rowBreaks count="1" manualBreakCount="1">
    <brk id="1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Report 1. MLR Template</vt:lpstr>
      <vt:lpstr>Report 2. MLR Quality Metrics</vt:lpstr>
      <vt:lpstr>Report 3. Admin Non-Claim Costs</vt:lpstr>
      <vt:lpstr>Report 4A. SUD RC Data</vt:lpstr>
      <vt:lpstr>Report 4B. SUD RC Calc</vt:lpstr>
      <vt:lpstr>Report 5. Certification</vt:lpstr>
      <vt:lpstr>Credibility Table</vt:lpstr>
      <vt:lpstr>RAE Scratch Sheet</vt:lpstr>
      <vt:lpstr>'Credibility Table'!Print_Area</vt:lpstr>
      <vt:lpstr>Overview!Print_Area</vt:lpstr>
      <vt:lpstr>'RAE Scratch Sheet'!Print_Area</vt:lpstr>
      <vt:lpstr>'Report 1. MLR Template'!Print_Area</vt:lpstr>
      <vt:lpstr>'Report 2. MLR Quality Metrics'!Print_Area</vt:lpstr>
      <vt:lpstr>'Report 3. Admin Non-Claim Costs'!Print_Area</vt:lpstr>
      <vt:lpstr>'Report 4A. SUD RC Data'!Print_Area</vt:lpstr>
      <vt:lpstr>'Report 4B. SUD RC Calc'!Print_Area</vt:lpstr>
      <vt:lpstr>'Report 3. Admin Non-Claim Costs'!Print_Titles</vt:lpstr>
      <vt:lpstr>'Report 4A. SUD RC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Jiane Diaz</cp:lastModifiedBy>
  <cp:lastPrinted>2023-11-04T00:15:14Z</cp:lastPrinted>
  <dcterms:created xsi:type="dcterms:W3CDTF">2015-11-05T21:44:37Z</dcterms:created>
  <dcterms:modified xsi:type="dcterms:W3CDTF">2024-01-16T16:45:54Z</dcterms:modified>
</cp:coreProperties>
</file>